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Instructions" sheetId="1" r:id="rId5"/>
    <sheet name="Dashboard" sheetId="2" r:id="rId6"/>
    <sheet name="Assumptions" sheetId="3" r:id="rId7"/>
    <sheet name="Payroll &amp; Staffing" sheetId="4" r:id="rId8"/>
    <sheet name="Monthly Budget" sheetId="5" r:id="rId9"/>
    <sheet name="Scenario Model" sheetId="6" r:id="rId10"/>
    <sheet name="5-Year Projection" sheetId="7" r:id="rId11"/>
    <sheet name="Capital vs Operating" sheetId="8" r:id="rId12"/>
    <sheet name="Notes &amp; Sources" sheetId="9" r:id="rId13"/>
  </sheets>
  <definedNames>
    <definedName name="_xlnm.Print_Area" localSheetId="2">'Assumptions'!$A$1:$F$121</definedName>
    <definedName name="_xlnm.Print_Area" localSheetId="4">'Monthly Budget'!$A$1:$F$78</definedName>
    <definedName name="_xlnm.Print_Area" localSheetId="1">'Dashboard'!$A$1:$H$40</definedName>
    <definedName name="_xlnm.Print_Area" localSheetId="7">'Capital vs Operating'!$A$1:$H$18</definedName>
    <definedName name="_xlnm.Print_Area" localSheetId="3">'Payroll &amp; Staffing'!$A$1:$H$20</definedName>
    <definedName name="_xlnm.Print_Area" localSheetId="5">'Scenario Model'!$A$1:$L$28</definedName>
    <definedName name="_xlnm.Print_Area" localSheetId="6">'5-Year Projection'!$A$1:$N$13</definedName>
    <definedName name="_xlnm.Print_Area" localSheetId="8">'Notes &amp; Sources'!$A$1:$E$20</definedName>
    <definedName name="_xlnm.Print_Area" localSheetId="0">'Instructions'!$A$1:$H$82</definedName>
  </definedNames>
  <calcPr calcMode="auto" fullCalcOnLoad="1" forceFullCalc="1"/>
</workbook>
</file>

<file path=xl/comments1.xml><?xml version="1.0" encoding="utf-8"?>
<comments xmlns="http://schemas.openxmlformats.org/spreadsheetml/2006/main">
  <authors>
    <author>Imported Author</author>
  </authors>
  <commentList>
    <comment ref="B9" authorId="0">
      <text>
        <t>Current approved electricity planning input: $0.15/kWh at v1.6 delivery, confirmed by James Sullivan as his current rate. Former $0.13/kWh is historical. Update only after acceptance of replacement information. General reference: https://www.eia.gov/electricity/monthly/epm_table_grapher.php?t=epmt_5_6_a</t>
      </text>
    </comment>
    <comment ref="B10" authorId="0">
      <text>
        <r>
          <rPr>
            <sz val="11"/>
            <color indexed="8"/>
            <rFont val="Helvetica Neue"/>
          </rPr>
          <t>Imported Author:
Natural gas planning rate rounded conservatively above commodity conversion from Texas commercial natural gas.
Source URLs: https://www.eia.gov/dnav/ng/hist/n3020tx3m.htm ; https://www.eia.gov/tools/faqs/faq.php?id=45&amp;t=8</t>
        </r>
      </text>
    </comment>
    <comment ref="B11" authorId="0">
      <text>
        <r>
          <rPr>
            <sz val="11"/>
            <color indexed="8"/>
            <rFont val="Helvetica Neue"/>
          </rPr>
          <t>Imported Author:
Propane planning placeholder until supplier quotes are obtained.
Source URL: https://www.eia.gov/dnav/pet/pet_pri_wfr_dcus_stx_w.htm</t>
        </r>
      </text>
    </comment>
  </commentList>
</comments>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<sst xmlns="http://schemas.openxmlformats.org/spreadsheetml/2006/main" uniqueCount="305">
  <si>
    <t>Veteran Village Expanded Master Budget Workbook v2.0 — Instructions</t>
  </si>
  <si>
    <t>Read First</t>
  </si>
  <si>
    <t>Workbook purpose</t>
  </si>
  <si>
    <t>This workbook combines the preserved monthly operating-cost model with startup funding, capital development, enterprise revenue, donor/grant presentation, consolidated cash flow, and audit controls.</t>
  </si>
  <si>
    <t>Version control</t>
  </si>
  <si>
    <t>Veteran_Village_Monthly_Cost_Production_Fixed_v1.3 is the untouched baseline/archive. This v1.3 file is the active expanded working model. Save later revisions with a new version number; never overwrite the archived v1.3 file.</t>
  </si>
  <si>
    <t>Current status</t>
  </si>
  <si>
    <t>Veteran Village Movement, Inc. has not yet been legally formed. The proposed Claude Firth Veteran Village remains in development. Land control has not been executed, and no grants, donations, pledges, contracts, permits, or professional site approvals are confirmed unless verified documentation is entered.</t>
  </si>
  <si>
    <t>Primary rule</t>
  </si>
  <si>
    <t>Keep what works. Add what is missing. Do not type over formula cells or replace calculated totals with hardcoded figures.</t>
  </si>
  <si>
    <t>Immediate target</t>
  </si>
  <si>
    <t>The current planning target for organizational formation and initial administrative capacity is $20,000–$30,000. It is separate from professional predevelopment, construction capital, enterprise startup, and operating reserve.</t>
  </si>
  <si>
    <t>Workbook navigation</t>
  </si>
  <si>
    <t>Dashboard</t>
  </si>
  <si>
    <t>Board-facing summary of the live operating model and expanded master-budget indicators.</t>
  </si>
  <si>
    <t>Assumptions</t>
  </si>
  <si>
    <t>Original live controls plus expanded inflation, escalation, dates, reserve, resident payment, and organizational-target inputs.</t>
  </si>
  <si>
    <t>Input Status Register</t>
  </si>
  <si>
    <t>Central audit list for material assumptions and entered figures.</t>
  </si>
  <si>
    <t>Payroll &amp; Staffing</t>
  </si>
  <si>
    <t>Original staffing model and loaded payroll.</t>
  </si>
  <si>
    <t>Monthly Budget</t>
  </si>
  <si>
    <t>Original monthly non-payroll and total operating-cost model.</t>
  </si>
  <si>
    <t>Scenario Model</t>
  </si>
  <si>
    <t>Original Low/Expected/High fuel comparisons.</t>
  </si>
  <si>
    <t>5-Year Projection</t>
  </si>
  <si>
    <t>Original operating projection; use expanded sheets for broader cash planning.</t>
  </si>
  <si>
    <t>Capital Budget</t>
  </si>
  <si>
    <t>Detailed development uses, escalation, contingency, sources, and status.</t>
  </si>
  <si>
    <t>Startup Funding Stages</t>
  </si>
  <si>
    <t>Separates formation, predevelopment, mobilization, opening, and stabilization requirements.</t>
  </si>
  <si>
    <t>Sources &amp; Uses</t>
  </si>
  <si>
    <t>Shows proposed sources, funding status, uses, and remaining gap.</t>
  </si>
  <si>
    <t>Enterprise Revenue</t>
  </si>
  <si>
    <t>Market-rate enterprise assumptions and operating contribution.</t>
  </si>
  <si>
    <t>Consolidated Cash Flow</t>
  </si>
  <si>
    <t>Five-year planning flow for funding, construction, operations, resident payments, enterprises, and ending cash.</t>
  </si>
  <si>
    <t>Donor &amp; Grant View</t>
  </si>
  <si>
    <t>Presentation view of fundable needs; values flow from underlying schedules.</t>
  </si>
  <si>
    <t>Capital vs Operating</t>
  </si>
  <si>
    <t>Preserved original separation of capital and operating costs.</t>
  </si>
  <si>
    <t>Checks</t>
  </si>
  <si>
    <t>Reconciliations, missing-input review, and model status.</t>
  </si>
  <si>
    <t>Notes &amp; Sources</t>
  </si>
  <si>
    <t>Original notes expanded with a structured source log.</t>
  </si>
  <si>
    <t>Version Log</t>
  </si>
  <si>
    <t>Records changes, reviews, and model versions.</t>
  </si>
  <si>
    <t>Color and cell conventions</t>
  </si>
  <si>
    <t>Blue input cells</t>
  </si>
  <si>
    <t>User-editable assumptions or manual entries. Enter typed numbers, percentages, or dates—not formatted text.</t>
  </si>
  <si>
    <t>White calculation cells</t>
  </si>
  <si>
    <t>Formula-driven cells. Do not type over them.</t>
  </si>
  <si>
    <t>Pale green totals</t>
  </si>
  <si>
    <t>Calculated totals or summary outputs.</t>
  </si>
  <si>
    <t>Dark-blue bands</t>
  </si>
  <si>
    <t>Titles and table headers.</t>
  </si>
  <si>
    <t>Red status</t>
  </si>
  <si>
    <t>Needs Review: supporting information or professional validation remains outstanding.</t>
  </si>
  <si>
    <t>Yellow status</t>
  </si>
  <si>
    <t>Estimated: a planning assumption, not a quotation or verified amount.</t>
  </si>
  <si>
    <t>Light-blue status</t>
  </si>
  <si>
    <t>Quoted: supported by a current supplier or professional quotation.</t>
  </si>
  <si>
    <t>Green status</t>
  </si>
  <si>
    <t>Verified: checked against reliable documentation.</t>
  </si>
  <si>
    <t>Status and source discipline</t>
  </si>
  <si>
    <t>Estimated</t>
  </si>
  <si>
    <t>Reasoned planning value pending a quotation or formal validation.</t>
  </si>
  <si>
    <t>Quoted</t>
  </si>
  <si>
    <t>Supported by a dated written quotation; record provider and date.</t>
  </si>
  <si>
    <t>Verified</t>
  </si>
  <si>
    <t>Checked against an authoritative document or completed transaction.</t>
  </si>
  <si>
    <t>Needs Review</t>
  </si>
  <si>
    <t>Incomplete, uncertain, outdated, or awaiting professional review.</t>
  </si>
  <si>
    <t>Formula</t>
  </si>
  <si>
    <t>Calculated from other workbook cells; correctness depends on underlying inputs.</t>
  </si>
  <si>
    <t>Not Applicable</t>
  </si>
  <si>
    <t>Intentionally unused for the particular item.</t>
  </si>
  <si>
    <t>Source entry</t>
  </si>
  <si>
    <t>Record provider/document, source date, reviewer, review date, and concise notes. Do not claim commitments or approvals without documentation.</t>
  </si>
  <si>
    <t>Recommended update process</t>
  </si>
  <si>
    <t>1. Preserve a copy</t>
  </si>
  <si>
    <t>Save the current v2.0 workbook before a material revision.</t>
  </si>
  <si>
    <t>2. Update assumptions</t>
  </si>
  <si>
    <t>Change only blue input cells. Confirm units and dates.</t>
  </si>
  <si>
    <t>3. Document sources</t>
  </si>
  <si>
    <t>Enter quotation/provider, date, reviewer, and notes at the same time the number changes.</t>
  </si>
  <si>
    <t>4. Set status</t>
  </si>
  <si>
    <t>Use the dropdown. A calculated value is Formula, not Verified.</t>
  </si>
  <si>
    <t>5. Review schedules</t>
  </si>
  <si>
    <t>Check Payroll, Monthly Budget, Capital Budget, Startup Funding, Enterprise Revenue, and Sources &amp; Uses.</t>
  </si>
  <si>
    <t>6. Review cash</t>
  </si>
  <si>
    <t>Confirm timing in Consolidated Cash Flow and distinguish restricted from unrestricted cash.</t>
  </si>
  <si>
    <t>7. Run checks</t>
  </si>
  <si>
    <t>Resolve or explain every REVIEW REQUIRED result before presenting the workbook externally.</t>
  </si>
  <si>
    <t>8. Human review</t>
  </si>
  <si>
    <t>Founder/developing board review policy and scope; CPA reviews financial treatment; grant writer reviews eligibility/restrictions; architect/engineer/contractor validates technical costs and contingencies.</t>
  </si>
  <si>
    <t>Operating model instructions</t>
  </si>
  <si>
    <t>Fuel model</t>
  </si>
  <si>
    <t>Use Assumptions!B4 to select All-Electric, Natural Gas, or Propane.</t>
  </si>
  <si>
    <t>Scenario</t>
  </si>
  <si>
    <t>Use Assumptions!B5 to select Low, Expected, or High.</t>
  </si>
  <si>
    <t>Beds and occupancy</t>
  </si>
  <si>
    <t>Update only with approved planning assumptions. Occupancy drives cost-per-Veteran metrics.</t>
  </si>
  <si>
    <t>Payroll</t>
  </si>
  <si>
    <t>Update headcount, salary, and burden only in the original Payroll &amp; Staffing input cells; loaded payroll is formula-driven.</t>
  </si>
  <si>
    <t>Inflation and escalation</t>
  </si>
  <si>
    <t>Use expanded controls on Assumptions. Do not bury escalation rates in formulas.</t>
  </si>
  <si>
    <t>Resident payments</t>
  </si>
  <si>
    <t>The $500 monthly room-and-board amount is a current approved assumption; revenue still depends on occupancy and timing.</t>
  </si>
  <si>
    <t>Capital, funding, and enterprise instructions</t>
  </si>
  <si>
    <t>Capital updates</t>
  </si>
  <si>
    <t>Enter quantity and unit cost in blue cells. Use zero only when the amount is genuinely unknown and mark Needs Review.</t>
  </si>
  <si>
    <t>Quotations</t>
  </si>
  <si>
    <t>Replace estimates only when a dated written quote identifies scope, exclusions, validity period, and provider.</t>
  </si>
  <si>
    <t>Contingency</t>
  </si>
  <si>
    <t>Apply visible design and construction contingency rates; do not use an unexplained plug to force the budget to $12 million.</t>
  </si>
  <si>
    <t>Startup stages</t>
  </si>
  <si>
    <t>Keep the $20,000–$30,000 organizational target separate from later professional, construction, and opening requirements.</t>
  </si>
  <si>
    <t>Enter proposed, pending, committed, or received sources accurately. Committed and received values must have support.</t>
  </si>
  <si>
    <t>Restrictions</t>
  </si>
  <si>
    <t>Do not apply restricted funds to unrelated uses. Document limitations in Notes &amp; Sources.</t>
  </si>
  <si>
    <t>Enterprise model</t>
  </si>
  <si>
    <t>Enter market-rate sales, direct costs, wages, and overhead. Veterans are not unpaid or discounted labor in exchange for housing.</t>
  </si>
  <si>
    <t>This is a presentation layer; correct underlying schedules rather than typing over formula-driven donor-view amounts.</t>
  </si>
  <si>
    <t>Final review before circulation</t>
  </si>
  <si>
    <t>Founder/developing board</t>
  </si>
  <si>
    <t>Confirm mission alignment, scope, current status, and that no approval is overstated.</t>
  </si>
  <si>
    <t>CPA</t>
  </si>
  <si>
    <t>Review classifications, cash timing, restrictions, payroll treatment, reserves, and reconciliation logic.</t>
  </si>
  <si>
    <t>Grant writer</t>
  </si>
  <si>
    <t>Review eligibility, deadlines, matching requirements, allowable uses, and restrictions.</t>
  </si>
  <si>
    <t>Architect/engineer/contractor</t>
  </si>
  <si>
    <t>Validate quantities, unit costs, escalation, contingencies, site infrastructure, and exclusions.</t>
  </si>
  <si>
    <t>Presentation check</t>
  </si>
  <si>
    <t>Confirm Dashboard and Donor &amp; Grant View are readable and all material Needs Review items are disclosed.</t>
  </si>
  <si>
    <t>Versioning</t>
  </si>
  <si>
    <t>Record the revision in Version Log with date, preparer, changes, reviewer, and status.</t>
  </si>
  <si>
    <t>Veteran Village Monthly Cost — Board Dashboard</t>
  </si>
  <si>
    <t>Fuel Model</t>
  </si>
  <si>
    <r>
      <rPr>
        <sz val="11"/>
        <color indexed="8"/>
        <rFont val="Cambria"/>
      </rPr>
      <t>Propane</t>
    </r>
  </si>
  <si>
    <r>
      <rPr>
        <sz val="11"/>
        <color indexed="8"/>
        <rFont val="Cambria"/>
      </rPr>
      <t>Low</t>
    </r>
  </si>
  <si>
    <t>Beds</t>
  </si>
  <si>
    <t>Occupancy</t>
  </si>
  <si>
    <t>Monthly Operating Cost</t>
  </si>
  <si>
    <t>Annual Operating Cost</t>
  </si>
  <si>
    <t>Cost / Veteran / Month</t>
  </si>
  <si>
    <t>Cost / Bed-Day</t>
  </si>
  <si>
    <t>Expected Capital Need</t>
  </si>
  <si>
    <t>Year 5 Operating Cost</t>
  </si>
  <si>
    <t>Annual Veterans Served</t>
  </si>
  <si>
    <t>Cost / Veteran Served</t>
  </si>
  <si>
    <t>Scenario Comparison — Monthly Operating Cost</t>
  </si>
  <si>
    <t>Fuel Option</t>
  </si>
  <si>
    <t>Low</t>
  </si>
  <si>
    <t>Expected</t>
  </si>
  <si>
    <t>High</t>
  </si>
  <si>
    <t>All-Electric</t>
  </si>
  <si>
    <t>Natural Gas</t>
  </si>
  <si>
    <t>Propane</t>
  </si>
  <si>
    <t xml:space="preserve"> Cost / Veteran / Year</t>
  </si>
  <si>
    <t xml:space="preserve"> Cost / Bed / Day</t>
  </si>
  <si>
    <t>Veteran Village Monthly Cost — Assumptions &amp; Controls</t>
  </si>
  <si>
    <t>Control</t>
  </si>
  <si>
    <t>Selected Value</t>
  </si>
  <si>
    <t>Units / Notes</t>
  </si>
  <si>
    <t>Dropdown: All-Electric / Natural Gas / Propane</t>
  </si>
  <si>
    <t>Dropdown: Low / Expected / High</t>
  </si>
  <si>
    <t>beds</t>
  </si>
  <si>
    <t>occupied</t>
  </si>
  <si>
    <t>Veterans Served per Year</t>
  </si>
  <si>
    <t>annual throughput</t>
  </si>
  <si>
    <t>Electricity Rate</t>
  </si>
  <si>
    <t>$/kWh</t>
  </si>
  <si>
    <t>Natural Gas Rate</t>
  </si>
  <si>
    <t>$/therm</t>
  </si>
  <si>
    <t>Propane Rate</t>
  </si>
  <si>
    <t>$/gallon</t>
  </si>
  <si>
    <t>Annual Inflation</t>
  </si>
  <si>
    <t>for projection</t>
  </si>
  <si>
    <t>Input Driver</t>
  </si>
  <si>
    <t>Units</t>
  </si>
  <si>
    <t>Electric Load — All-Electric</t>
  </si>
  <si>
    <t>kWh/month</t>
  </si>
  <si>
    <t>Electric Load — Mixed Fuel</t>
  </si>
  <si>
    <t>Natural Gas Use</t>
  </si>
  <si>
    <t>therms/month</t>
  </si>
  <si>
    <t>Propane Use</t>
  </si>
  <si>
    <t>gallons/month</t>
  </si>
  <si>
    <t>Internet</t>
  </si>
  <si>
    <t>$/month</t>
  </si>
  <si>
    <t>Well / Pump / Water Treatment</t>
  </si>
  <si>
    <t>Waste / Recycling / Compost Haul</t>
  </si>
  <si>
    <t>Grounds / Garden / Compost Inputs</t>
  </si>
  <si>
    <t>Cleaning / Paper / Consumables</t>
  </si>
  <si>
    <t>Security / Monitoring</t>
  </si>
  <si>
    <t>Maintenance Reserve</t>
  </si>
  <si>
    <t>Admin / Office Supplies</t>
  </si>
  <si>
    <t>Misc. Contingency</t>
  </si>
  <si>
    <t>Payroll Burden Rate</t>
  </si>
  <si>
    <t>% of salary for payroll taxes / benefits reserve</t>
  </si>
  <si>
    <t>Blue input cells are user-editable. Fuel and scenario toggles drive the workbook. Payroll is modeled on the Payroll &amp; Staffing sheet.</t>
  </si>
  <si>
    <t>Veteran Village Payroll &amp; Staffing Model</t>
  </si>
  <si>
    <t>Selected Scenario</t>
  </si>
  <si>
    <r>
      <rPr>
        <sz val="13"/>
        <color indexed="8"/>
        <rFont val="Cambria"/>
      </rPr>
      <t>Low</t>
    </r>
  </si>
  <si>
    <t>Position</t>
  </si>
  <si>
    <t>Headcount</t>
  </si>
  <si>
    <t>Annual Salary</t>
  </si>
  <si>
    <t>Annual Base Payroll</t>
  </si>
  <si>
    <t>Burden Rate</t>
  </si>
  <si>
    <t>Annual Loaded Payroll</t>
  </si>
  <si>
    <t>Monthly Loaded Payroll</t>
  </si>
  <si>
    <t>On-Site Managers</t>
  </si>
  <si>
    <t>Chaplain / LPC</t>
  </si>
  <si>
    <t>Mess Sergeant</t>
  </si>
  <si>
    <t>Sous Chef</t>
  </si>
  <si>
    <t>Kitchen Labor</t>
  </si>
  <si>
    <t>Property Management Labor</t>
  </si>
  <si>
    <t>TOTAL LOADED PAYROLL</t>
  </si>
  <si>
    <t>KPI</t>
  </si>
  <si>
    <t>Value</t>
  </si>
  <si>
    <t>Formula / Basis</t>
  </si>
  <si>
    <t>Sum of annual salaries</t>
  </si>
  <si>
    <t>Base payroll plus burden</t>
  </si>
  <si>
    <t>Annual loaded payroll ÷ 12</t>
  </si>
  <si>
    <t>Veteran Village Monthly Operating Budget (Funding-Ready)</t>
  </si>
  <si>
    <t>Selected Fuel Model</t>
  </si>
  <si>
    <r>
      <rPr>
        <sz val="13"/>
        <color indexed="8"/>
        <rFont val="Cambria"/>
      </rPr>
      <t>Propane</t>
    </r>
  </si>
  <si>
    <t>Category</t>
  </si>
  <si>
    <t>Selected Volume</t>
  </si>
  <si>
    <t>Selected Rate</t>
  </si>
  <si>
    <t>Monthly Cost</t>
  </si>
  <si>
    <t>Utilities</t>
  </si>
  <si>
    <t>Electricity</t>
  </si>
  <si>
    <t>Utility Subtotal</t>
  </si>
  <si>
    <t>Site Operations</t>
  </si>
  <si>
    <t>Site Operations Subtotal</t>
  </si>
  <si>
    <t>TOTAL MONTHLY NON-PAYROLL OPERATING COST</t>
  </si>
  <si>
    <t>TOTAL MONTHLY OPERATING COST (INCLUDING PAYROLL)</t>
  </si>
  <si>
    <t>Occupied Beds</t>
  </si>
  <si>
    <t>Beds × occupancy</t>
  </si>
  <si>
    <t>Cost per Occupied Veteran / Month</t>
  </si>
  <si>
    <t>Monthly total ÷ occupied beds</t>
  </si>
  <si>
    <t>Cost per Occupied Bed-Day</t>
  </si>
  <si>
    <t>Monthly total ÷ occupied beds ÷ 30.4</t>
  </si>
  <si>
    <t>Monthly total × 12</t>
  </si>
  <si>
    <t>Annual Cost per Veteran Served</t>
  </si>
  <si>
    <t>Annual total ÷ annual veterans served</t>
  </si>
  <si>
    <t>3-Scenario Operating Model — Low / Expected / High</t>
  </si>
  <si>
    <t>TOTAL MONTHLY OPERATING COST</t>
  </si>
  <si>
    <t>Cost / Occupied Veteran / Month</t>
  </si>
  <si>
    <t>Cost / Occupied Bed-Day</t>
  </si>
  <si>
    <t>5-Year Utility &amp; Operating Cost Projection</t>
  </si>
  <si>
    <t>Year</t>
  </si>
  <si>
    <t>Int + H2O + Waste</t>
  </si>
  <si>
    <t>Other Site Ops</t>
  </si>
  <si>
    <t>Total Operating</t>
  </si>
  <si>
    <t>Year 1</t>
  </si>
  <si>
    <t>Year 2</t>
  </si>
  <si>
    <t>Year 3</t>
  </si>
  <si>
    <t>Year 4</t>
  </si>
  <si>
    <t>Year 5</t>
  </si>
  <si>
    <t>Capital vs Operating Separation</t>
  </si>
  <si>
    <t>Capital Category</t>
  </si>
  <si>
    <t>Operating Category</t>
  </si>
  <si>
    <t>Monthly</t>
  </si>
  <si>
    <t>Annual</t>
  </si>
  <si>
    <t>30 Tiny Homes</t>
  </si>
  <si>
    <t>Non-Payroll Operating Cost (selected)</t>
  </si>
  <si>
    <t>Command Center / Mess Hall</t>
  </si>
  <si>
    <t>On-Site Managers (loaded monthly)</t>
  </si>
  <si>
    <t>Laundry / Logistics Facility</t>
  </si>
  <si>
    <t>Chaplain / LPC (loaded monthly)</t>
  </si>
  <si>
    <t>Infrastructure &amp; Site Work</t>
  </si>
  <si>
    <t>Mess Sergeant (loaded monthly)</t>
  </si>
  <si>
    <t>Solar</t>
  </si>
  <si>
    <t>Sous Chef (loaded monthly)</t>
  </si>
  <si>
    <t>Water Reclamation</t>
  </si>
  <si>
    <t>Kitchen Labor (loaded monthly)</t>
  </si>
  <si>
    <t>TOTAL CAPITAL DEVELOPMENT</t>
  </si>
  <si>
    <t>Property Mgmt Labor (loaded monthly)</t>
  </si>
  <si>
    <t>TOTAL OPERATING PROJECTION</t>
  </si>
  <si>
    <t>Expected Capital / Annual Operating</t>
  </si>
  <si>
    <t>Notes, Assumptions &amp; Source References</t>
  </si>
  <si>
    <t>Section</t>
  </si>
  <si>
    <t>Note</t>
  </si>
  <si>
    <t>Workbook scope</t>
  </si>
  <si>
    <t>This workbook is a conservative, funding-ready monthly operating model for the Veteran Village. It separates capital vs operating, includes fuel toggles, per-veteran metrics, and a 5-year projection.</t>
  </si>
  <si>
    <t>Fuel toggle</t>
  </si>
  <si>
    <t>Assumptions!B4 toggles between All-Electric, Natural Gas, and Propane. Assumptions!B5 toggles Low / Expected / High.</t>
  </si>
  <si>
    <t>Electric rate</t>
  </si>
  <si>
    <t>User-directed planning rate is set at $0.13/kWh for wiggle room.</t>
  </si>
  <si>
    <t>Natural gas rate</t>
  </si>
  <si>
    <t>Planning rate is a conservative placeholder pending utility quote or tariff detail.</t>
  </si>
  <si>
    <t>Propane rate</t>
  </si>
  <si>
    <t>Planning rate is a placeholder pending local tank and refill quote.</t>
  </si>
  <si>
    <t>Water</t>
  </si>
  <si>
    <t>Well water lowers direct billing but still requires power, pumping, treatment, testing, and maintenance.</t>
  </si>
  <si>
    <t>Waste strategy</t>
  </si>
  <si>
    <t>Budget assumes strong composting, reuse, and recycling, with a modest haul / disposal cost retained for realism.</t>
  </si>
  <si>
    <t>Payroll assumptions are modeled on the Payroll &amp; Staffing sheet and roll through the Monthly Budget, Dashboard, Capital vs Operating, and 5-Year Projection.</t>
  </si>
  <si>
    <t>Source URL</t>
  </si>
  <si>
    <t>https://www.eia.gov/electricity/monthly/epm_table_grapher.php?t=epmt_5_6_a</t>
  </si>
  <si>
    <t>https://www.eia.gov/dnav/ng/hist/n3020tx3m.htm</t>
  </si>
  <si>
    <t>https://www.eia.gov/tools/faqs/faq.php?id=45&amp;t=8</t>
  </si>
  <si>
    <t>https://www.eia.gov/dnav/pet/pet_pri_wfr_dcus_stx_w.htm</t>
  </si>
</sst>
</file>

<file path=xl/styles.xml><?xml version="1.0" encoding="utf-8"?>
<styleSheet xmlns="http://schemas.openxmlformats.org/spreadsheetml/2006/main">
  <numFmts count="12">
    <numFmt numFmtId="0" formatCode="General"/>
    <numFmt numFmtId="59" formatCode="#,##0&quot; &quot;;(#,##0)"/>
    <numFmt numFmtId="60" formatCode="&quot;$&quot;#,##0"/>
    <numFmt numFmtId="61" formatCode="&quot;$&quot;#,##0.00"/>
    <numFmt numFmtId="62" formatCode="&quot;$&quot;#,##0&quot; &quot;;&quot;($&quot;#,##0)"/>
    <numFmt numFmtId="63" formatCode="&quot;$&quot;0.00"/>
    <numFmt numFmtId="64" formatCode="&quot;$&quot;#,##0.00&quot; &quot;;&quot;($&quot;#,##0.00)"/>
    <numFmt numFmtId="65" formatCode="0.0%"/>
    <numFmt numFmtId="66" formatCode="&quot;$&quot;#,##0.00;&quot;-&quot;&quot;$&quot;#,##0.00"/>
    <numFmt numFmtId="67" formatCode="0.000"/>
    <numFmt numFmtId="164" formatCode="yyyy-mm-dd"/>
    <numFmt numFmtId="165" formatCode="0.0000"/>
  </numFmts>
  <fonts count="29">
    <font>
      <sz val="10"/>
      <color indexed="8"/>
      <name val="Arial"/>
    </font>
    <font>
      <sz val="12"/>
      <color indexed="8"/>
      <name val="Helvetica Neue"/>
    </font>
    <font>
      <sz val="15"/>
      <color indexed="8"/>
      <name val="Calibri"/>
    </font>
    <font>
      <b val="1"/>
      <sz val="10"/>
      <color indexed="9"/>
      <name val="Arial"/>
    </font>
    <font>
      <b val="1"/>
      <sz val="10"/>
      <color indexed="10"/>
      <name val="Arial"/>
    </font>
    <font>
      <sz val="10"/>
      <color indexed="15"/>
      <name val="Arial"/>
    </font>
    <font>
      <sz val="20"/>
      <color indexed="9"/>
      <name val="Cambria"/>
    </font>
    <font>
      <sz val="11"/>
      <color indexed="16"/>
      <name val="Cambria"/>
    </font>
    <font>
      <sz val="11"/>
      <color indexed="8"/>
      <name val="Cambria"/>
    </font>
    <font>
      <sz val="16"/>
      <color indexed="10"/>
      <name val="Cambria"/>
    </font>
    <font>
      <sz val="14"/>
      <color indexed="10"/>
      <name val="Cambria"/>
    </font>
    <font>
      <b val="1"/>
      <sz val="14"/>
      <color indexed="8"/>
      <name val="Calibri"/>
    </font>
    <font>
      <sz val="14"/>
      <color indexed="9"/>
      <name val="Cambria"/>
    </font>
    <font>
      <sz val="11"/>
      <color indexed="9"/>
      <name val="Cambria"/>
    </font>
    <font>
      <sz val="13"/>
      <color indexed="8"/>
      <name val="Calibri"/>
    </font>
    <font>
      <b val="1"/>
      <sz val="13"/>
      <color indexed="8"/>
      <name val="Calibri"/>
    </font>
    <font>
      <sz val="10"/>
      <color indexed="8"/>
      <name val="Calibri"/>
    </font>
    <font>
      <sz val="18"/>
      <color indexed="8"/>
      <name val="Cambria"/>
    </font>
    <font>
      <sz val="10"/>
      <color indexed="8"/>
      <name val="Cambria"/>
    </font>
    <font>
      <sz val="13"/>
      <color indexed="9"/>
      <name val="Cambria"/>
    </font>
    <font>
      <sz val="13"/>
      <color indexed="16"/>
      <name val="Cambria"/>
    </font>
    <font>
      <sz val="13"/>
      <color indexed="25"/>
      <name val="Cambria"/>
    </font>
    <font>
      <sz val="13"/>
      <color indexed="27"/>
      <name val="Cambria"/>
    </font>
    <font>
      <sz val="11"/>
      <color indexed="8"/>
      <name val="Helvetica Neue"/>
    </font>
    <font>
      <sz val="13"/>
      <color indexed="8"/>
      <name val="Cambria"/>
    </font>
    <font>
      <sz val="20"/>
      <color indexed="8"/>
      <name val="Calibri"/>
    </font>
    <font>
      <sz val="13"/>
      <color indexed="10"/>
      <name val="Cambria"/>
    </font>
    <font>
      <sz val="13"/>
      <color indexed="31"/>
      <name val="Calibri"/>
    </font>
    <font>
      <sz val="13"/>
      <color indexed="31"/>
      <name val="Cambria"/>
    </font>
  </fonts>
  <fills count="12">
    <fill>
      <patternFill patternType="none"/>
    </fill>
    <fill>
      <patternFill patternType="gray125"/>
    </fill>
    <fill>
      <patternFill patternType="solid">
        <fgColor indexed="10"/>
        <bgColor auto="1"/>
      </patternFill>
    </fill>
    <fill>
      <patternFill patternType="solid">
        <fgColor indexed="9"/>
        <bgColor auto="1"/>
      </patternFill>
    </fill>
    <fill>
      <patternFill patternType="solid">
        <fgColor indexed="13"/>
        <bgColor auto="1"/>
      </patternFill>
    </fill>
    <fill>
      <patternFill patternType="solid">
        <fgColor indexed="17"/>
        <bgColor auto="1"/>
      </patternFill>
    </fill>
    <fill>
      <patternFill patternType="solid">
        <fgColor indexed="20"/>
        <bgColor auto="1"/>
      </patternFill>
    </fill>
    <fill>
      <patternFill patternType="solid">
        <fgColor indexed="21"/>
        <bgColor auto="1"/>
      </patternFill>
    </fill>
    <fill>
      <patternFill patternType="solid">
        <fgColor indexed="26"/>
        <bgColor auto="1"/>
      </patternFill>
    </fill>
    <fill>
      <patternFill patternType="solid">
        <fgColor indexed="28"/>
        <bgColor auto="1"/>
      </patternFill>
    </fill>
    <fill>
      <patternFill patternType="solid">
        <fgColor indexed="29"/>
        <bgColor auto="1"/>
      </patternFill>
    </fill>
    <fill>
      <patternFill patternType="solid">
        <fgColor indexed="30"/>
        <bgColor auto="1"/>
      </patternFill>
    </fill>
  </fills>
  <borders count="46">
    <border>
      <left/>
      <right/>
      <top/>
      <bottom/>
      <diagonal/>
    </border>
    <border>
      <left style="thin">
        <color indexed="10"/>
      </left>
      <right/>
      <top style="thin">
        <color indexed="10"/>
      </top>
      <bottom style="thin">
        <color indexed="10"/>
      </bottom>
      <diagonal/>
    </border>
    <border>
      <left/>
      <right/>
      <top style="thin">
        <color indexed="11"/>
      </top>
      <bottom style="thin">
        <color indexed="10"/>
      </bottom>
      <diagonal/>
    </border>
    <border>
      <left/>
      <right style="thin">
        <color indexed="11"/>
      </right>
      <top style="thin">
        <color indexed="11"/>
      </top>
      <bottom style="thin">
        <color indexed="10"/>
      </bottom>
      <diagonal/>
    </border>
    <border>
      <left style="thin">
        <color indexed="11"/>
      </left>
      <right/>
      <top style="thin">
        <color indexed="10"/>
      </top>
      <bottom style="thin">
        <color indexed="12"/>
      </bottom>
      <diagonal/>
    </border>
    <border>
      <left/>
      <right/>
      <top style="thin">
        <color indexed="10"/>
      </top>
      <bottom style="thin">
        <color indexed="12"/>
      </bottom>
      <diagonal/>
    </border>
    <border>
      <left/>
      <right style="thin">
        <color indexed="11"/>
      </right>
      <top style="thin">
        <color indexed="10"/>
      </top>
      <bottom style="thin">
        <color indexed="12"/>
      </bottom>
      <diagonal/>
    </border>
    <border>
      <left style="thin">
        <color indexed="12"/>
      </left>
      <right/>
      <top style="thin">
        <color indexed="12"/>
      </top>
      <bottom style="thin">
        <color indexed="14"/>
      </bottom>
      <diagonal/>
    </border>
    <border>
      <left/>
      <right/>
      <top style="thin">
        <color indexed="12"/>
      </top>
      <bottom style="thin">
        <color indexed="14"/>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thin">
        <color indexed="14"/>
      </left>
      <right style="thin">
        <color indexed="14"/>
      </right>
      <top style="thin">
        <color indexed="14"/>
      </top>
      <bottom style="thin">
        <color indexed="14"/>
      </bottom>
      <diagonal/>
    </border>
    <border>
      <left style="thin">
        <color indexed="14"/>
      </left>
      <right/>
      <top style="thin">
        <color indexed="12"/>
      </top>
      <bottom/>
      <diagonal/>
    </border>
    <border>
      <left/>
      <right/>
      <top style="thin">
        <color indexed="12"/>
      </top>
      <bottom/>
      <diagonal/>
    </border>
    <border>
      <left/>
      <right style="thin">
        <color indexed="11"/>
      </right>
      <top style="thin">
        <color indexed="12"/>
      </top>
      <bottom/>
      <diagonal/>
    </border>
    <border>
      <left style="thin">
        <color indexed="14"/>
      </left>
      <right/>
      <top/>
      <bottom/>
      <diagonal/>
    </border>
    <border>
      <left/>
      <right/>
      <top/>
      <bottom/>
      <diagonal/>
    </border>
    <border>
      <left/>
      <right style="thin">
        <color indexed="11"/>
      </right>
      <top/>
      <bottom/>
      <diagonal/>
    </border>
    <border>
      <left style="thin">
        <color indexed="11"/>
      </left>
      <right/>
      <top style="thin">
        <color indexed="14"/>
      </top>
      <bottom style="thin">
        <color indexed="12"/>
      </bottom>
      <diagonal/>
    </border>
    <border>
      <left/>
      <right/>
      <top style="thin">
        <color indexed="14"/>
      </top>
      <bottom style="thin">
        <color indexed="12"/>
      </bottom>
      <diagonal/>
    </border>
    <border>
      <left/>
      <right/>
      <top/>
      <bottom style="thin">
        <color indexed="12"/>
      </bottom>
      <diagonal/>
    </border>
    <border>
      <left/>
      <right style="thin">
        <color indexed="11"/>
      </right>
      <top/>
      <bottom style="thin">
        <color indexed="12"/>
      </bottom>
      <diagonal/>
    </border>
    <border>
      <left style="thin">
        <color indexed="14"/>
      </left>
      <right/>
      <top/>
      <bottom style="thin">
        <color indexed="11"/>
      </bottom>
      <diagonal/>
    </border>
    <border>
      <left/>
      <right/>
      <top/>
      <bottom style="thin">
        <color indexed="11"/>
      </bottom>
      <diagonal/>
    </border>
    <border>
      <left/>
      <right style="thin">
        <color indexed="11"/>
      </right>
      <top/>
      <bottom style="thin">
        <color indexed="11"/>
      </bottom>
      <diagonal/>
    </border>
    <border>
      <left style="thin">
        <color indexed="11"/>
      </left>
      <right/>
      <top style="thin">
        <color indexed="11"/>
      </top>
      <bottom/>
      <diagonal/>
    </border>
    <border>
      <left/>
      <right/>
      <top style="thin">
        <color indexed="11"/>
      </top>
      <bottom/>
      <diagonal/>
    </border>
    <border>
      <left/>
      <right style="thin">
        <color indexed="11"/>
      </right>
      <top style="thin">
        <color indexed="11"/>
      </top>
      <bottom/>
      <diagonal/>
    </border>
    <border>
      <left style="thin">
        <color indexed="11"/>
      </left>
      <right/>
      <top/>
      <bottom/>
      <diagonal/>
    </border>
    <border>
      <left style="thin">
        <color indexed="11"/>
      </left>
      <right/>
      <top/>
      <bottom style="thin">
        <color indexed="19"/>
      </bottom>
      <diagonal/>
    </border>
    <border>
      <left/>
      <right/>
      <top/>
      <bottom style="thin">
        <color indexed="19"/>
      </bottom>
      <diagonal/>
    </border>
    <border>
      <left/>
      <right style="thin">
        <color indexed="11"/>
      </right>
      <top/>
      <bottom style="thin">
        <color indexed="19"/>
      </bottom>
      <diagonal/>
    </border>
    <border>
      <left style="thin">
        <color indexed="19"/>
      </left>
      <right style="thin">
        <color indexed="19"/>
      </right>
      <top style="thin">
        <color indexed="19"/>
      </top>
      <bottom style="thin">
        <color indexed="19"/>
      </bottom>
      <diagonal/>
    </border>
    <border>
      <left style="thin">
        <color indexed="11"/>
      </left>
      <right/>
      <top style="thin">
        <color indexed="19"/>
      </top>
      <bottom style="thin">
        <color indexed="19"/>
      </bottom>
      <diagonal/>
    </border>
    <border>
      <left/>
      <right/>
      <top style="thin">
        <color indexed="19"/>
      </top>
      <bottom style="thin">
        <color indexed="19"/>
      </bottom>
      <diagonal/>
    </border>
    <border>
      <left/>
      <right style="thin">
        <color indexed="11"/>
      </right>
      <top style="thin">
        <color indexed="19"/>
      </top>
      <bottom style="thin">
        <color indexed="19"/>
      </bottom>
      <diagonal/>
    </border>
    <border>
      <left style="thin">
        <color indexed="11"/>
      </left>
      <right/>
      <top style="thin">
        <color indexed="19"/>
      </top>
      <bottom/>
      <diagonal/>
    </border>
    <border>
      <left/>
      <right/>
      <top style="thin">
        <color indexed="19"/>
      </top>
      <bottom/>
      <diagonal/>
    </border>
    <border>
      <left/>
      <right style="thin">
        <color indexed="11"/>
      </right>
      <top style="thin">
        <color indexed="19"/>
      </top>
      <bottom/>
      <diagonal/>
    </border>
    <border>
      <left style="thin">
        <color indexed="11"/>
      </left>
      <right/>
      <top/>
      <bottom style="thin">
        <color indexed="11"/>
      </bottom>
      <diagonal/>
    </border>
    <border>
      <left style="thin">
        <color indexed="11"/>
      </left>
      <right/>
      <top/>
      <bottom style="medium">
        <color indexed="10"/>
      </bottom>
      <diagonal/>
    </border>
    <border>
      <left/>
      <right/>
      <top/>
      <bottom style="medium">
        <color indexed="10"/>
      </bottom>
      <diagonal/>
    </border>
    <border>
      <left style="thin">
        <color indexed="11"/>
      </left>
      <right/>
      <top style="medium">
        <color indexed="10"/>
      </top>
      <bottom/>
      <diagonal/>
    </border>
    <border>
      <left/>
      <right/>
      <top style="medium">
        <color indexed="10"/>
      </top>
      <bottom/>
      <diagonal/>
    </border>
    <border>
      <left style="thin">
        <color indexed="11"/>
      </left>
      <right/>
      <top style="medium">
        <color indexed="10"/>
      </top>
      <bottom style="medium">
        <color indexed="10"/>
      </bottom>
      <diagonal/>
    </border>
    <border>
      <left/>
      <right/>
      <top style="medium">
        <color indexed="10"/>
      </top>
      <bottom style="medium">
        <color indexed="10"/>
      </bottom>
      <diagonal/>
    </border>
  </borders>
  <cellStyleXfs count="1">
    <xf numFmtId="0" fontId="0" applyNumberFormat="0" applyFont="1" applyFill="0" applyBorder="0" applyAlignment="1" applyProtection="0">
      <alignment vertical="bottom"/>
    </xf>
  </cellStyleXfs>
  <cellXfs count="354">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center"/>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0" fontId="0" fillId="3" borderId="4" applyNumberFormat="0" applyFont="1" applyFill="1" applyBorder="1" applyAlignment="1" applyProtection="0">
      <alignment vertical="center"/>
    </xf>
    <xf numFmtId="0" fontId="0" fillId="3" borderId="5" applyNumberFormat="0" applyFont="1" applyFill="1" applyBorder="1" applyAlignment="1" applyProtection="0">
      <alignment vertical="center"/>
    </xf>
    <xf numFmtId="0" fontId="0" fillId="3" borderId="6" applyNumberFormat="0" applyFont="1" applyFill="1" applyBorder="1" applyAlignment="1" applyProtection="0">
      <alignment vertical="center"/>
    </xf>
    <xf numFmtId="49" fontId="4" fillId="4" borderId="7" applyNumberFormat="1" applyFont="1" applyFill="1" applyBorder="1" applyAlignment="1" applyProtection="0">
      <alignment vertical="center"/>
    </xf>
    <xf numFmtId="0" fontId="4" fillId="4" borderId="8" applyNumberFormat="0" applyFont="1" applyFill="1" applyBorder="1" applyAlignment="1" applyProtection="0">
      <alignment vertical="center"/>
    </xf>
    <xf numFmtId="0" fontId="4" fillId="4" borderId="9" applyNumberFormat="0" applyFont="1" applyFill="1" applyBorder="1" applyAlignment="1" applyProtection="0">
      <alignment vertical="center"/>
    </xf>
    <xf numFmtId="0" fontId="4" fillId="4" borderId="10" applyNumberFormat="0" applyFont="1" applyFill="1" applyBorder="1" applyAlignment="1" applyProtection="0">
      <alignment vertical="center"/>
    </xf>
    <xf numFmtId="49" fontId="4" fillId="3" borderId="11" applyNumberFormat="1" applyFont="1" applyFill="1" applyBorder="1" applyAlignment="1" applyProtection="0">
      <alignment vertical="center" wrapText="1"/>
    </xf>
    <xf numFmtId="49" fontId="5" fillId="3" borderId="11" applyNumberFormat="1" applyFont="1" applyFill="1" applyBorder="1" applyAlignment="1" applyProtection="0">
      <alignment vertical="center" wrapText="1"/>
    </xf>
    <xf numFmtId="0" fontId="0" fillId="3" borderId="12" applyNumberFormat="0" applyFont="1" applyFill="1" applyBorder="1" applyAlignment="1" applyProtection="0">
      <alignment vertical="center"/>
    </xf>
    <xf numFmtId="0" fontId="0" fillId="3" borderId="13" applyNumberFormat="0" applyFont="1" applyFill="1" applyBorder="1" applyAlignment="1" applyProtection="0">
      <alignment vertical="center"/>
    </xf>
    <xf numFmtId="0" fontId="0" fillId="3" borderId="14" applyNumberFormat="0" applyFont="1" applyFill="1" applyBorder="1" applyAlignment="1" applyProtection="0">
      <alignment vertical="center"/>
    </xf>
    <xf numFmtId="0" fontId="0" fillId="3" borderId="15" applyNumberFormat="0" applyFont="1" applyFill="1" applyBorder="1" applyAlignment="1" applyProtection="0">
      <alignment vertical="center"/>
    </xf>
    <xf numFmtId="0" fontId="0" fillId="3" borderId="16" applyNumberFormat="0" applyFont="1" applyFill="1" applyBorder="1" applyAlignment="1" applyProtection="0">
      <alignment vertical="center"/>
    </xf>
    <xf numFmtId="0" fontId="0" fillId="3" borderId="17" applyNumberFormat="0" applyFont="1" applyFill="1" applyBorder="1" applyAlignment="1" applyProtection="0">
      <alignment vertical="center"/>
    </xf>
    <xf numFmtId="0" fontId="0" fillId="3" borderId="18" applyNumberFormat="0" applyFont="1" applyFill="1" applyBorder="1" applyAlignment="1" applyProtection="0">
      <alignment vertical="center"/>
    </xf>
    <xf numFmtId="0" fontId="0" fillId="3" borderId="19" applyNumberFormat="0" applyFont="1" applyFill="1" applyBorder="1" applyAlignment="1" applyProtection="0">
      <alignment vertical="center"/>
    </xf>
    <xf numFmtId="0" fontId="0" fillId="3" borderId="20" applyNumberFormat="0" applyFont="1" applyFill="1" applyBorder="1" applyAlignment="1" applyProtection="0">
      <alignment vertical="center"/>
    </xf>
    <xf numFmtId="0" fontId="0" fillId="3" borderId="21" applyNumberFormat="0" applyFont="1" applyFill="1" applyBorder="1" applyAlignment="1" applyProtection="0">
      <alignment vertical="center"/>
    </xf>
    <xf numFmtId="0" fontId="0" fillId="3" borderId="22" applyNumberFormat="0" applyFont="1" applyFill="1" applyBorder="1" applyAlignment="1" applyProtection="0">
      <alignment vertical="center"/>
    </xf>
    <xf numFmtId="0" fontId="0" fillId="3" borderId="23" applyNumberFormat="0" applyFont="1" applyFill="1" applyBorder="1" applyAlignment="1" applyProtection="0">
      <alignment vertical="center"/>
    </xf>
    <xf numFmtId="0" fontId="0" fillId="3" borderId="24" applyNumberFormat="0" applyFont="1" applyFill="1" applyBorder="1" applyAlignment="1" applyProtection="0">
      <alignment vertical="center"/>
    </xf>
    <xf numFmtId="0" fontId="0" applyNumberFormat="1" applyFont="1" applyFill="0" applyBorder="0" applyAlignment="1" applyProtection="0">
      <alignment vertical="bottom"/>
    </xf>
    <xf numFmtId="49" fontId="6" fillId="2" borderId="25" applyNumberFormat="1" applyFont="1" applyFill="1" applyBorder="1" applyAlignment="1" applyProtection="0">
      <alignment horizontal="center" vertical="center"/>
    </xf>
    <xf numFmtId="1" fontId="6" fillId="2" borderId="26" applyNumberFormat="1" applyFont="1" applyFill="1" applyBorder="1" applyAlignment="1" applyProtection="0">
      <alignment horizontal="center" vertical="center"/>
    </xf>
    <xf numFmtId="1" fontId="6" fillId="2" borderId="27" applyNumberFormat="1" applyFont="1" applyFill="1" applyBorder="1" applyAlignment="1" applyProtection="0">
      <alignment horizontal="center" vertical="center"/>
    </xf>
    <xf numFmtId="0" fontId="0" fillId="3" borderId="28" applyNumberFormat="0" applyFont="1" applyFill="1" applyBorder="1" applyAlignment="1" applyProtection="0">
      <alignment vertical="bottom"/>
    </xf>
    <xf numFmtId="0" fontId="0" fillId="3" borderId="16" applyNumberFormat="0" applyFont="1" applyFill="1" applyBorder="1" applyAlignment="1" applyProtection="0">
      <alignment vertical="bottom"/>
    </xf>
    <xf numFmtId="0" fontId="0" fillId="3" borderId="17" applyNumberFormat="0" applyFont="1" applyFill="1" applyBorder="1" applyAlignment="1" applyProtection="0">
      <alignment vertical="bottom"/>
    </xf>
    <xf numFmtId="49" fontId="7" fillId="3" borderId="28" applyNumberFormat="1" applyFont="1" applyFill="1" applyBorder="1" applyAlignment="1" applyProtection="0">
      <alignment vertical="bottom"/>
    </xf>
    <xf numFmtId="0" fontId="8" fillId="5" borderId="16" applyNumberFormat="0" applyFont="1" applyFill="1" applyBorder="1" applyAlignment="1" applyProtection="0">
      <alignment horizontal="center" vertical="bottom"/>
    </xf>
    <xf numFmtId="49" fontId="7" fillId="3" borderId="16" applyNumberFormat="1" applyFont="1" applyFill="1" applyBorder="1" applyAlignment="1" applyProtection="0">
      <alignment vertical="bottom"/>
    </xf>
    <xf numFmtId="59" fontId="8" fillId="5" borderId="16" applyNumberFormat="1" applyFont="1" applyFill="1" applyBorder="1" applyAlignment="1" applyProtection="0">
      <alignment horizontal="center" vertical="bottom"/>
    </xf>
    <xf numFmtId="9" fontId="8" fillId="5" borderId="17" applyNumberFormat="1" applyFont="1" applyFill="1" applyBorder="1" applyAlignment="1" applyProtection="0">
      <alignment horizontal="center" vertical="bottom"/>
    </xf>
    <xf numFmtId="49" fontId="7" fillId="3" borderId="29" applyNumberFormat="1" applyFont="1" applyFill="1" applyBorder="1" applyAlignment="1" applyProtection="0">
      <alignment vertical="bottom"/>
    </xf>
    <xf numFmtId="0" fontId="0" fillId="3" borderId="30" applyNumberFormat="0" applyFont="1" applyFill="1" applyBorder="1" applyAlignment="1" applyProtection="0">
      <alignment vertical="bottom"/>
    </xf>
    <xf numFmtId="49" fontId="7" fillId="3" borderId="30" applyNumberFormat="1" applyFont="1" applyFill="1" applyBorder="1" applyAlignment="1" applyProtection="0">
      <alignment vertical="bottom"/>
    </xf>
    <xf numFmtId="0" fontId="0" fillId="3" borderId="31" applyNumberFormat="0" applyFont="1" applyFill="1" applyBorder="1" applyAlignment="1" applyProtection="0">
      <alignment vertical="bottom"/>
    </xf>
    <xf numFmtId="60" fontId="9" fillId="6" borderId="32" applyNumberFormat="1" applyFont="1" applyFill="1" applyBorder="1" applyAlignment="1" applyProtection="0">
      <alignment horizontal="center" vertical="center"/>
    </xf>
    <xf numFmtId="61" fontId="9" fillId="6" borderId="32" applyNumberFormat="1" applyFont="1" applyFill="1" applyBorder="1" applyAlignment="1" applyProtection="0">
      <alignment horizontal="center" vertical="center"/>
    </xf>
    <xf numFmtId="49" fontId="7" fillId="3" borderId="33" applyNumberFormat="1" applyFont="1" applyFill="1" applyBorder="1" applyAlignment="1" applyProtection="0">
      <alignment vertical="bottom"/>
    </xf>
    <xf numFmtId="0" fontId="0" fillId="3" borderId="34" applyNumberFormat="0" applyFont="1" applyFill="1" applyBorder="1" applyAlignment="1" applyProtection="0">
      <alignment vertical="bottom"/>
    </xf>
    <xf numFmtId="49" fontId="7" fillId="3" borderId="34" applyNumberFormat="1" applyFont="1" applyFill="1" applyBorder="1" applyAlignment="1" applyProtection="0">
      <alignment vertical="bottom"/>
    </xf>
    <xf numFmtId="0" fontId="0" fillId="3" borderId="35" applyNumberFormat="0" applyFont="1" applyFill="1" applyBorder="1" applyAlignment="1" applyProtection="0">
      <alignment vertical="bottom"/>
    </xf>
    <xf numFmtId="3" fontId="9" fillId="6" borderId="32" applyNumberFormat="1" applyFont="1" applyFill="1" applyBorder="1" applyAlignment="1" applyProtection="0">
      <alignment horizontal="center" vertical="center"/>
    </xf>
    <xf numFmtId="0" fontId="0" fillId="3" borderId="36" applyNumberFormat="0" applyFont="1" applyFill="1" applyBorder="1" applyAlignment="1" applyProtection="0">
      <alignment vertical="bottom"/>
    </xf>
    <xf numFmtId="0" fontId="0" fillId="3" borderId="37" applyNumberFormat="0" applyFont="1" applyFill="1" applyBorder="1" applyAlignment="1" applyProtection="0">
      <alignment vertical="bottom"/>
    </xf>
    <xf numFmtId="0" fontId="0" fillId="3" borderId="38" applyNumberFormat="0" applyFont="1" applyFill="1" applyBorder="1" applyAlignment="1" applyProtection="0">
      <alignment vertical="bottom"/>
    </xf>
    <xf numFmtId="49" fontId="10" fillId="3" borderId="28" applyNumberFormat="1" applyFont="1" applyFill="1" applyBorder="1" applyAlignment="1" applyProtection="0">
      <alignment vertical="bottom"/>
    </xf>
    <xf numFmtId="0" fontId="11" fillId="3" borderId="16" applyNumberFormat="0" applyFont="1" applyFill="1" applyBorder="1" applyAlignment="1" applyProtection="0">
      <alignment vertical="bottom"/>
    </xf>
    <xf numFmtId="49" fontId="12" fillId="7" borderId="28" applyNumberFormat="1" applyFont="1" applyFill="1" applyBorder="1" applyAlignment="1" applyProtection="0">
      <alignment horizontal="center" vertical="center"/>
    </xf>
    <xf numFmtId="49" fontId="12" fillId="7" borderId="16" applyNumberFormat="1" applyFont="1" applyFill="1" applyBorder="1" applyAlignment="1" applyProtection="0">
      <alignment horizontal="center" vertical="center"/>
    </xf>
    <xf numFmtId="49" fontId="13" fillId="7" borderId="16" applyNumberFormat="1" applyFont="1" applyFill="1" applyBorder="1" applyAlignment="1" applyProtection="0">
      <alignment horizontal="center" vertical="center"/>
    </xf>
    <xf numFmtId="49" fontId="14" fillId="3" borderId="28" applyNumberFormat="1" applyFont="1" applyFill="1" applyBorder="1" applyAlignment="1" applyProtection="0">
      <alignment vertical="bottom"/>
    </xf>
    <xf numFmtId="62" fontId="14" fillId="3" borderId="16" applyNumberFormat="1" applyFont="1" applyFill="1" applyBorder="1" applyAlignment="1" applyProtection="0">
      <alignment vertical="bottom"/>
    </xf>
    <xf numFmtId="49" fontId="15" fillId="3" borderId="28" applyNumberFormat="1" applyFont="1" applyFill="1" applyBorder="1" applyAlignment="1" applyProtection="0">
      <alignment vertical="bottom"/>
    </xf>
    <xf numFmtId="63" fontId="15" fillId="3" borderId="16" applyNumberFormat="1" applyFont="1" applyFill="1" applyBorder="1" applyAlignment="1" applyProtection="0">
      <alignment vertical="bottom"/>
    </xf>
    <xf numFmtId="0" fontId="0" fillId="3" borderId="39" applyNumberFormat="0" applyFont="1" applyFill="1" applyBorder="1" applyAlignment="1" applyProtection="0">
      <alignment vertical="bottom"/>
    </xf>
    <xf numFmtId="0" fontId="0" fillId="3" borderId="23" applyNumberFormat="0" applyFont="1" applyFill="1" applyBorder="1" applyAlignment="1" applyProtection="0">
      <alignment vertical="bottom"/>
    </xf>
    <xf numFmtId="0" fontId="0" fillId="3" borderId="24" applyNumberFormat="0" applyFont="1" applyFill="1" applyBorder="1" applyAlignment="1" applyProtection="0">
      <alignment vertical="bottom"/>
    </xf>
    <xf numFmtId="0" fontId="0" applyNumberFormat="1" applyFont="1" applyFill="0" applyBorder="0" applyAlignment="1" applyProtection="0">
      <alignment vertical="bottom"/>
    </xf>
    <xf numFmtId="49" fontId="19" fillId="7" borderId="28" applyNumberFormat="1" applyFont="1" applyFill="1" applyBorder="1" applyAlignment="1" applyProtection="0">
      <alignment horizontal="center" vertical="center"/>
    </xf>
    <xf numFmtId="49" fontId="19" fillId="7" borderId="16" applyNumberFormat="1" applyFont="1" applyFill="1" applyBorder="1" applyAlignment="1" applyProtection="0">
      <alignment horizontal="center" vertical="center"/>
    </xf>
    <xf numFmtId="0" fontId="14" fillId="3" borderId="16" applyNumberFormat="0" applyFont="1" applyFill="1" applyBorder="1" applyAlignment="1" applyProtection="0">
      <alignment vertical="bottom"/>
    </xf>
    <xf numFmtId="0" fontId="14" fillId="3" borderId="17" applyNumberFormat="0" applyFont="1" applyFill="1" applyBorder="1" applyAlignment="1" applyProtection="0">
      <alignment vertical="bottom"/>
    </xf>
    <xf numFmtId="49" fontId="20" fillId="3" borderId="28" applyNumberFormat="1" applyFont="1" applyFill="1" applyBorder="1" applyAlignment="1" applyProtection="0">
      <alignment vertical="bottom"/>
    </xf>
    <xf numFmtId="49" fontId="21" fillId="8" borderId="16" applyNumberFormat="1" applyFont="1" applyFill="1" applyBorder="1" applyAlignment="1" applyProtection="0">
      <alignment vertical="bottom"/>
    </xf>
    <xf numFmtId="49" fontId="14" fillId="3" borderId="16" applyNumberFormat="1" applyFont="1" applyFill="1" applyBorder="1" applyAlignment="1" applyProtection="0">
      <alignment vertical="bottom"/>
    </xf>
    <xf numFmtId="59" fontId="21" fillId="8" borderId="16" applyNumberFormat="1" applyFont="1" applyFill="1" applyBorder="1" applyAlignment="1" applyProtection="0">
      <alignment vertical="bottom"/>
    </xf>
    <xf numFmtId="1" fontId="22" fillId="8" borderId="16" applyNumberFormat="1" applyFont="1" applyFill="1" applyBorder="1" applyAlignment="1" applyProtection="0">
      <alignment vertical="bottom"/>
    </xf>
    <xf numFmtId="64" fontId="21" fillId="8" borderId="16" applyNumberFormat="1" applyFont="1" applyFill="1" applyBorder="1" applyAlignment="1" applyProtection="0">
      <alignment vertical="bottom"/>
    </xf>
    <xf numFmtId="65" fontId="21" fillId="8" borderId="16" applyNumberFormat="1" applyFont="1" applyFill="1" applyBorder="1" applyAlignment="1" applyProtection="0">
      <alignment vertical="bottom"/>
    </xf>
    <xf numFmtId="0" fontId="14" fillId="3" borderId="28" applyNumberFormat="0" applyFont="1" applyFill="1" applyBorder="1" applyAlignment="1" applyProtection="0">
      <alignment vertical="bottom"/>
    </xf>
    <xf numFmtId="0" fontId="21" fillId="8" borderId="16" applyNumberFormat="1" applyFont="1" applyFill="1" applyBorder="1" applyAlignment="1" applyProtection="0">
      <alignment vertical="bottom"/>
    </xf>
    <xf numFmtId="66" fontId="21" fillId="8" borderId="16" applyNumberFormat="1" applyFont="1" applyFill="1" applyBorder="1" applyAlignment="1" applyProtection="0">
      <alignment vertical="bottom"/>
    </xf>
    <xf numFmtId="65" fontId="21" fillId="8" borderId="16" applyNumberFormat="1" applyFont="1" applyFill="1" applyBorder="1" applyAlignment="1" applyProtection="0">
      <alignment horizontal="center" vertical="bottom"/>
    </xf>
    <xf numFmtId="1" fontId="13" fillId="7" borderId="16" applyNumberFormat="1" applyFont="1" applyFill="1" applyBorder="1" applyAlignment="1" applyProtection="0">
      <alignment horizontal="center" vertical="center"/>
    </xf>
    <xf numFmtId="49" fontId="7" fillId="3" borderId="39" applyNumberFormat="1" applyFont="1" applyFill="1" applyBorder="1" applyAlignment="1" applyProtection="0">
      <alignment vertical="bottom"/>
    </xf>
    <xf numFmtId="1" fontId="7" fillId="3" borderId="23" applyNumberFormat="1" applyFont="1" applyFill="1" applyBorder="1" applyAlignment="1" applyProtection="0">
      <alignment vertical="bottom"/>
    </xf>
    <xf numFmtId="1" fontId="7" fillId="3" borderId="24" applyNumberFormat="1" applyFont="1" applyFill="1" applyBorder="1" applyAlignment="1" applyProtection="0">
      <alignment vertical="bottom"/>
    </xf>
    <xf numFmtId="0" fontId="0" applyNumberFormat="1" applyFont="1" applyFill="0" applyBorder="0" applyAlignment="1" applyProtection="0">
      <alignment vertical="bottom"/>
    </xf>
    <xf numFmtId="0" fontId="24" fillId="5" borderId="16" applyNumberFormat="0" applyFont="1" applyFill="1" applyBorder="1" applyAlignment="1" applyProtection="0">
      <alignment horizontal="center" vertical="bottom"/>
    </xf>
    <xf numFmtId="49" fontId="20" fillId="3" borderId="16" applyNumberFormat="1" applyFont="1" applyFill="1" applyBorder="1" applyAlignment="1" applyProtection="0">
      <alignment vertical="bottom"/>
    </xf>
    <xf numFmtId="1" fontId="24" fillId="5" borderId="16" applyNumberFormat="1" applyFont="1" applyFill="1" applyBorder="1" applyAlignment="1" applyProtection="0">
      <alignment horizontal="center" vertical="bottom"/>
    </xf>
    <xf numFmtId="49" fontId="14" fillId="3" borderId="16" applyNumberFormat="1" applyFont="1" applyFill="1" applyBorder="1" applyAlignment="1" applyProtection="0">
      <alignment horizontal="center" vertical="bottom"/>
    </xf>
    <xf numFmtId="1" fontId="14" fillId="3" borderId="16" applyNumberFormat="1" applyFont="1" applyFill="1" applyBorder="1" applyAlignment="1" applyProtection="0">
      <alignment horizontal="right" vertical="bottom"/>
    </xf>
    <xf numFmtId="59" fontId="14" fillId="3" borderId="16" applyNumberFormat="1" applyFont="1" applyFill="1" applyBorder="1" applyAlignment="1" applyProtection="0">
      <alignment horizontal="right" vertical="bottom"/>
    </xf>
    <xf numFmtId="64" fontId="14" fillId="3" borderId="16" applyNumberFormat="1" applyFont="1" applyFill="1" applyBorder="1" applyAlignment="1" applyProtection="0">
      <alignment horizontal="right" vertical="bottom"/>
    </xf>
    <xf numFmtId="62" fontId="14" fillId="3" borderId="16" applyNumberFormat="1" applyFont="1" applyFill="1" applyBorder="1" applyAlignment="1" applyProtection="0">
      <alignment horizontal="right" vertical="bottom"/>
    </xf>
    <xf numFmtId="49" fontId="14" fillId="3" borderId="40" applyNumberFormat="1" applyFont="1" applyFill="1" applyBorder="1" applyAlignment="1" applyProtection="0">
      <alignment vertical="bottom"/>
    </xf>
    <xf numFmtId="1" fontId="14" fillId="3" borderId="41" applyNumberFormat="1" applyFont="1" applyFill="1" applyBorder="1" applyAlignment="1" applyProtection="0">
      <alignment horizontal="right" vertical="bottom"/>
    </xf>
    <xf numFmtId="59" fontId="14" fillId="3" borderId="41" applyNumberFormat="1" applyFont="1" applyFill="1" applyBorder="1" applyAlignment="1" applyProtection="0">
      <alignment horizontal="right" vertical="bottom"/>
    </xf>
    <xf numFmtId="64" fontId="14" fillId="3" borderId="41" applyNumberFormat="1" applyFont="1" applyFill="1" applyBorder="1" applyAlignment="1" applyProtection="0">
      <alignment horizontal="right" vertical="bottom"/>
    </xf>
    <xf numFmtId="62" fontId="14" fillId="3" borderId="41" applyNumberFormat="1" applyFont="1" applyFill="1" applyBorder="1" applyAlignment="1" applyProtection="0">
      <alignment horizontal="right" vertical="bottom"/>
    </xf>
    <xf numFmtId="49" fontId="24" fillId="9" borderId="42" applyNumberFormat="1" applyFont="1" applyFill="1" applyBorder="1" applyAlignment="1" applyProtection="0">
      <alignment vertical="bottom"/>
    </xf>
    <xf numFmtId="62" fontId="24" fillId="9" borderId="43" applyNumberFormat="1" applyFont="1" applyFill="1" applyBorder="1" applyAlignment="1" applyProtection="0">
      <alignment horizontal="right" vertical="bottom"/>
    </xf>
    <xf numFmtId="59" fontId="24" fillId="3" borderId="16" applyNumberFormat="1" applyFont="1" applyFill="1" applyBorder="1" applyAlignment="1" applyProtection="0">
      <alignment vertical="bottom"/>
    </xf>
    <xf numFmtId="49" fontId="14" fillId="3" borderId="39" applyNumberFormat="1" applyFont="1" applyFill="1" applyBorder="1" applyAlignment="1" applyProtection="0">
      <alignment vertical="bottom"/>
    </xf>
    <xf numFmtId="59" fontId="24" fillId="3" borderId="23" applyNumberFormat="1" applyFont="1" applyFill="1" applyBorder="1" applyAlignment="1" applyProtection="0">
      <alignment vertical="bottom"/>
    </xf>
    <xf numFmtId="49" fontId="14" fillId="3" borderId="23" applyNumberFormat="1" applyFont="1" applyFill="1" applyBorder="1" applyAlignment="1" applyProtection="0">
      <alignment vertical="bottom"/>
    </xf>
    <xf numFmtId="0" fontId="14" fillId="3" borderId="23" applyNumberFormat="0" applyFont="1" applyFill="1" applyBorder="1" applyAlignment="1" applyProtection="0">
      <alignment vertical="bottom"/>
    </xf>
    <xf numFmtId="0" fontId="14" fillId="3" borderId="24" applyNumberFormat="0" applyFont="1" applyFill="1" applyBorder="1" applyAlignment="1" applyProtection="0">
      <alignment vertical="bottom"/>
    </xf>
    <xf numFmtId="0" fontId="0" applyNumberFormat="1" applyFont="1" applyFill="0" applyBorder="0" applyAlignment="1" applyProtection="0">
      <alignment vertical="bottom"/>
    </xf>
    <xf numFmtId="0" fontId="25" fillId="3" borderId="26" applyNumberFormat="0" applyFont="1" applyFill="1" applyBorder="1" applyAlignment="1" applyProtection="0">
      <alignment vertical="bottom"/>
    </xf>
    <xf numFmtId="1" fontId="0" fillId="3" borderId="26" applyNumberFormat="1" applyFont="1" applyFill="1" applyBorder="1" applyAlignment="1" applyProtection="0">
      <alignment vertical="bottom"/>
    </xf>
    <xf numFmtId="0" fontId="25" fillId="3" borderId="27" applyNumberFormat="0" applyFont="1" applyFill="1" applyBorder="1" applyAlignment="1" applyProtection="0">
      <alignment vertical="bottom"/>
    </xf>
    <xf numFmtId="49" fontId="26" fillId="10" borderId="28" applyNumberFormat="1" applyFont="1" applyFill="1" applyBorder="1" applyAlignment="1" applyProtection="0">
      <alignment vertical="bottom"/>
    </xf>
    <xf numFmtId="1" fontId="26" fillId="10" borderId="16" applyNumberFormat="1" applyFont="1" applyFill="1" applyBorder="1" applyAlignment="1" applyProtection="0">
      <alignment horizontal="right" vertical="bottom"/>
    </xf>
    <xf numFmtId="49" fontId="14" fillId="3" borderId="16" applyNumberFormat="1" applyFont="1" applyFill="1" applyBorder="1" applyAlignment="1" applyProtection="0">
      <alignment horizontal="right" vertical="bottom"/>
    </xf>
    <xf numFmtId="49" fontId="24" fillId="11" borderId="42" applyNumberFormat="1" applyFont="1" applyFill="1" applyBorder="1" applyAlignment="1" applyProtection="0">
      <alignment vertical="bottom"/>
    </xf>
    <xf numFmtId="62" fontId="24" fillId="11" borderId="43" applyNumberFormat="1" applyFont="1" applyFill="1" applyBorder="1" applyAlignment="1" applyProtection="0">
      <alignment horizontal="right" vertical="bottom"/>
    </xf>
    <xf numFmtId="49" fontId="24" fillId="11" borderId="44" applyNumberFormat="1" applyFont="1" applyFill="1" applyBorder="1" applyAlignment="1" applyProtection="0">
      <alignment vertical="bottom"/>
    </xf>
    <xf numFmtId="62" fontId="24" fillId="11" borderId="45" applyNumberFormat="1" applyFont="1" applyFill="1" applyBorder="1" applyAlignment="1" applyProtection="0">
      <alignment horizontal="right" vertical="bottom"/>
    </xf>
    <xf numFmtId="49" fontId="24" fillId="9" borderId="44" applyNumberFormat="1" applyFont="1" applyFill="1" applyBorder="1" applyAlignment="1" applyProtection="0">
      <alignment vertical="bottom"/>
    </xf>
    <xf numFmtId="62" fontId="24" fillId="9" borderId="45" applyNumberFormat="1" applyFont="1" applyFill="1" applyBorder="1" applyAlignment="1" applyProtection="0">
      <alignment horizontal="right" vertical="bottom"/>
    </xf>
    <xf numFmtId="62" fontId="24" fillId="3" borderId="16" applyNumberFormat="1" applyFont="1" applyFill="1" applyBorder="1" applyAlignment="1" applyProtection="0">
      <alignment vertical="bottom"/>
    </xf>
    <xf numFmtId="64" fontId="24" fillId="3" borderId="16" applyNumberFormat="1" applyFont="1" applyFill="1" applyBorder="1" applyAlignment="1" applyProtection="0">
      <alignment vertical="bottom"/>
    </xf>
    <xf numFmtId="0" fontId="14" fillId="3" borderId="39" applyNumberFormat="0" applyFont="1" applyFill="1" applyBorder="1" applyAlignment="1" applyProtection="0">
      <alignment vertical="bottom"/>
    </xf>
    <xf numFmtId="62" fontId="24" fillId="3" borderId="23" applyNumberFormat="1" applyFont="1" applyFill="1" applyBorder="1" applyAlignment="1" applyProtection="0">
      <alignment vertical="bottom"/>
    </xf>
    <xf numFmtId="0" fontId="0" applyNumberFormat="1" applyFont="1" applyFill="0" applyBorder="0" applyAlignment="1" applyProtection="0">
      <alignment vertical="bottom"/>
    </xf>
    <xf numFmtId="49" fontId="19" fillId="7" borderId="29" applyNumberFormat="1" applyFont="1" applyFill="1" applyBorder="1" applyAlignment="1" applyProtection="0">
      <alignment horizontal="center" vertical="center"/>
    </xf>
    <xf numFmtId="49" fontId="19" fillId="7" borderId="30" applyNumberFormat="1" applyFont="1" applyFill="1" applyBorder="1" applyAlignment="1" applyProtection="0">
      <alignment horizontal="center" vertical="bottom"/>
    </xf>
    <xf numFmtId="1" fontId="13" fillId="7" borderId="30" applyNumberFormat="1" applyFont="1" applyFill="1" applyBorder="1" applyAlignment="1" applyProtection="0">
      <alignment horizontal="center" vertical="bottom"/>
    </xf>
    <xf numFmtId="1" fontId="14" fillId="3" borderId="30" applyNumberFormat="1" applyFont="1" applyFill="1" applyBorder="1" applyAlignment="1" applyProtection="0">
      <alignment horizontal="right" vertical="bottom"/>
    </xf>
    <xf numFmtId="1" fontId="13" fillId="7" borderId="31" applyNumberFormat="1" applyFont="1" applyFill="1" applyBorder="1" applyAlignment="1" applyProtection="0">
      <alignment horizontal="center" vertical="bottom"/>
    </xf>
    <xf numFmtId="1" fontId="14" fillId="3" borderId="33" applyNumberFormat="1" applyFont="1" applyFill="1" applyBorder="1" applyAlignment="1" applyProtection="0">
      <alignment vertical="bottom"/>
    </xf>
    <xf numFmtId="49" fontId="19" fillId="7" borderId="34" applyNumberFormat="1" applyFont="1" applyFill="1" applyBorder="1" applyAlignment="1" applyProtection="0">
      <alignment horizontal="right" vertical="bottom"/>
    </xf>
    <xf numFmtId="1" fontId="14" fillId="3" borderId="34" applyNumberFormat="1" applyFont="1" applyFill="1" applyBorder="1" applyAlignment="1" applyProtection="0">
      <alignment horizontal="right" vertical="bottom"/>
    </xf>
    <xf numFmtId="49" fontId="19" fillId="7" borderId="35" applyNumberFormat="1" applyFont="1" applyFill="1" applyBorder="1" applyAlignment="1" applyProtection="0">
      <alignment horizontal="right" vertical="bottom"/>
    </xf>
    <xf numFmtId="49" fontId="14" fillId="3" borderId="33" applyNumberFormat="1" applyFont="1" applyFill="1" applyBorder="1" applyAlignment="1" applyProtection="0">
      <alignment vertical="bottom"/>
    </xf>
    <xf numFmtId="62" fontId="14" fillId="3" borderId="34" applyNumberFormat="1" applyFont="1" applyFill="1" applyBorder="1" applyAlignment="1" applyProtection="0">
      <alignment horizontal="right" vertical="bottom"/>
    </xf>
    <xf numFmtId="62" fontId="14" fillId="3" borderId="35" applyNumberFormat="1" applyFont="1" applyFill="1" applyBorder="1" applyAlignment="1" applyProtection="0">
      <alignment horizontal="right" vertical="bottom"/>
    </xf>
    <xf numFmtId="49" fontId="24" fillId="3" borderId="33" applyNumberFormat="1" applyFont="1" applyFill="1" applyBorder="1" applyAlignment="1" applyProtection="0">
      <alignment vertical="bottom"/>
    </xf>
    <xf numFmtId="62" fontId="24" fillId="9" borderId="34" applyNumberFormat="1" applyFont="1" applyFill="1" applyBorder="1" applyAlignment="1" applyProtection="0">
      <alignment horizontal="right" vertical="bottom"/>
    </xf>
    <xf numFmtId="1" fontId="15" fillId="3" borderId="34" applyNumberFormat="1" applyFont="1" applyFill="1" applyBorder="1" applyAlignment="1" applyProtection="0">
      <alignment horizontal="right" vertical="bottom"/>
    </xf>
    <xf numFmtId="62" fontId="24" fillId="9" borderId="35" applyNumberFormat="1" applyFont="1" applyFill="1" applyBorder="1" applyAlignment="1" applyProtection="0">
      <alignment horizontal="right" vertical="bottom"/>
    </xf>
    <xf numFmtId="62" fontId="24" fillId="3" borderId="34" applyNumberFormat="1" applyFont="1" applyFill="1" applyBorder="1" applyAlignment="1" applyProtection="0">
      <alignment horizontal="right" vertical="bottom"/>
    </xf>
    <xf numFmtId="62" fontId="24" fillId="3" borderId="35" applyNumberFormat="1" applyFont="1" applyFill="1" applyBorder="1" applyAlignment="1" applyProtection="0">
      <alignment horizontal="right" vertical="bottom"/>
    </xf>
    <xf numFmtId="64" fontId="24" fillId="3" borderId="34" applyNumberFormat="1" applyFont="1" applyFill="1" applyBorder="1" applyAlignment="1" applyProtection="0">
      <alignment horizontal="right" vertical="bottom"/>
    </xf>
    <xf numFmtId="64" fontId="24" fillId="3" borderId="35" applyNumberFormat="1" applyFont="1" applyFill="1" applyBorder="1" applyAlignment="1" applyProtection="0">
      <alignment horizontal="right" vertical="bottom"/>
    </xf>
    <xf numFmtId="0" fontId="0" applyNumberFormat="1" applyFont="1" applyFill="0" applyBorder="0" applyAlignment="1" applyProtection="0">
      <alignment vertical="bottom"/>
    </xf>
    <xf numFmtId="0" fontId="24" fillId="5" borderId="16" applyNumberFormat="0" applyFont="1" applyFill="1" applyBorder="1" applyAlignment="1" applyProtection="0">
      <alignment vertical="bottom"/>
    </xf>
    <xf numFmtId="49" fontId="19" fillId="7" borderId="17" applyNumberFormat="1" applyFont="1" applyFill="1" applyBorder="1" applyAlignment="1" applyProtection="0">
      <alignment horizontal="center" vertical="center"/>
    </xf>
    <xf numFmtId="59" fontId="14" fillId="3" borderId="28" applyNumberFormat="1" applyFont="1" applyFill="1" applyBorder="1" applyAlignment="1" applyProtection="0">
      <alignment vertical="bottom"/>
    </xf>
    <xf numFmtId="62" fontId="14" fillId="3" borderId="17" applyNumberFormat="1" applyFont="1" applyFill="1" applyBorder="1" applyAlignment="1" applyProtection="0">
      <alignment vertical="bottom"/>
    </xf>
    <xf numFmtId="59" fontId="14" fillId="3" borderId="39" applyNumberFormat="1" applyFont="1" applyFill="1" applyBorder="1" applyAlignment="1" applyProtection="0">
      <alignment vertical="bottom"/>
    </xf>
    <xf numFmtId="62" fontId="14" fillId="3" borderId="23" applyNumberFormat="1" applyFont="1" applyFill="1" applyBorder="1" applyAlignment="1" applyProtection="0">
      <alignment vertical="bottom"/>
    </xf>
    <xf numFmtId="0" fontId="0" applyNumberFormat="1" applyFont="1" applyFill="0" applyBorder="0" applyAlignment="1" applyProtection="0">
      <alignment vertical="bottom"/>
    </xf>
    <xf numFmtId="62" fontId="27" fillId="3" borderId="16" applyNumberFormat="1" applyFont="1" applyFill="1" applyBorder="1" applyAlignment="1" applyProtection="0">
      <alignment vertical="bottom"/>
    </xf>
    <xf numFmtId="61" fontId="14" fillId="3" borderId="17" applyNumberFormat="1" applyFont="1" applyFill="1" applyBorder="1" applyAlignment="1" applyProtection="0">
      <alignment vertical="bottom"/>
    </xf>
    <xf numFmtId="62" fontId="28" fillId="3" borderId="16" applyNumberFormat="1" applyFont="1" applyFill="1" applyBorder="1" applyAlignment="1" applyProtection="0">
      <alignment vertical="bottom"/>
    </xf>
    <xf numFmtId="49" fontId="24" fillId="3" borderId="28" applyNumberFormat="1" applyFont="1" applyFill="1" applyBorder="1" applyAlignment="1" applyProtection="0">
      <alignment vertical="bottom"/>
    </xf>
    <xf numFmtId="62" fontId="24" fillId="9" borderId="16" applyNumberFormat="1" applyFont="1" applyFill="1" applyBorder="1" applyAlignment="1" applyProtection="0">
      <alignment vertical="bottom"/>
    </xf>
    <xf numFmtId="60" fontId="27" fillId="3" borderId="16" applyNumberFormat="1" applyFont="1" applyFill="1" applyBorder="1" applyAlignment="1" applyProtection="0">
      <alignment vertical="bottom"/>
    </xf>
    <xf numFmtId="61" fontId="27" fillId="3" borderId="16" applyNumberFormat="1" applyFont="1" applyFill="1" applyBorder="1" applyAlignment="1" applyProtection="0">
      <alignment vertical="bottom"/>
    </xf>
    <xf numFmtId="49" fontId="24" fillId="3" borderId="16" applyNumberFormat="1" applyFont="1" applyFill="1" applyBorder="1" applyAlignment="1" applyProtection="0">
      <alignment vertical="bottom"/>
    </xf>
    <xf numFmtId="61" fontId="14" fillId="3" borderId="16" applyNumberFormat="1" applyFont="1" applyFill="1" applyBorder="1" applyAlignment="1" applyProtection="0">
      <alignment vertical="bottom"/>
    </xf>
    <xf numFmtId="67" fontId="14" fillId="3" borderId="17" applyNumberFormat="1" applyFont="1" applyFill="1" applyBorder="1" applyAlignment="1" applyProtection="0">
      <alignment vertical="bottom"/>
    </xf>
    <xf numFmtId="61" fontId="14" fillId="3" borderId="23" applyNumberFormat="1" applyFont="1" applyFill="1" applyBorder="1" applyAlignment="1" applyProtection="0">
      <alignment vertical="bottom"/>
    </xf>
    <xf numFmtId="61" fontId="24" fillId="3" borderId="24" applyNumberFormat="1" applyFont="1" applyFill="1" applyBorder="1" applyAlignment="1" applyProtection="0">
      <alignment vertical="bottom"/>
    </xf>
    <xf numFmtId="0" fontId="0" applyNumberFormat="1" applyFont="1" applyFill="0" applyBorder="0" applyAlignment="1" applyProtection="0">
      <alignment vertical="bottom"/>
    </xf>
    <xf numFmtId="0" fontId="0" fillId="3" borderId="26" applyNumberFormat="0" applyFont="1" applyFill="1" applyBorder="1" applyAlignment="1" applyProtection="0">
      <alignment vertical="bottom"/>
    </xf>
    <xf numFmtId="0" fontId="0" fillId="3" borderId="27" applyNumberFormat="0" applyFont="1" applyFill="1" applyBorder="1" applyAlignment="1" applyProtection="0">
      <alignment vertical="bottom"/>
    </xf>
    <xf numFmtId="49" fontId="14" fillId="3" borderId="16" applyNumberFormat="1" applyFont="1" applyFill="1" applyBorder="1" applyAlignment="1" applyProtection="0">
      <alignment vertical="top" wrapText="1"/>
    </xf>
    <xf numFmtId="49" fontId="20" fillId="3" borderId="39" applyNumberFormat="1" applyFont="1" applyFill="1" applyBorder="1" applyAlignment="1" applyProtection="0">
      <alignment vertical="bottom"/>
    </xf>
    <xf numFmtId="49" fontId="14" fillId="3" borderId="23" applyNumberFormat="1" applyFont="1" applyFill="1" applyBorder="1" applyAlignment="1" applyProtection="0">
      <alignment vertical="top" wrapText="1"/>
    </xf>
    <xf numFmtId="49" fontId="3" fillId="2" borderId="1" applyNumberFormat="1" applyFont="1" applyFill="1" applyBorder="1" applyAlignment="1" applyProtection="1">
      <alignment horizontal="center" vertical="center"/>
      <protection locked="1" hidden="0"/>
    </xf>
    <xf numFmtId="49" fontId="4" fillId="3" borderId="11" applyNumberFormat="1" applyFont="1" applyFill="1" applyBorder="1" applyAlignment="1" applyProtection="1">
      <alignment vertical="center" wrapText="1"/>
      <protection locked="1" hidden="0"/>
    </xf>
    <xf numFmtId="49" fontId="5" fillId="3" borderId="11" applyNumberFormat="1" applyFont="1" applyFill="1" applyBorder="1" applyAlignment="1" applyProtection="1">
      <alignment vertical="center" wrapText="1"/>
      <protection locked="1" hidden="0"/>
    </xf>
    <xf numFmtId="0" fontId="0" borderId="2" applyNumberFormat="0" applyFont="1" applyFill="0" applyBorder="1" applyAlignment="1" applyProtection="1">
      <alignment vertical="bottom"/>
      <protection locked="1" hidden="0"/>
    </xf>
    <xf numFmtId="0" fontId="0" borderId="3" applyNumberFormat="0" applyFont="1" applyFill="0" applyBorder="1" applyAlignment="1" applyProtection="1">
      <alignment vertical="bottom"/>
      <protection locked="1" hidden="0"/>
    </xf>
    <xf numFmtId="0" fontId="0" fillId="3" borderId="4" applyNumberFormat="0" applyFont="1" applyFill="1" applyBorder="1" applyAlignment="1" applyProtection="1">
      <alignment vertical="center"/>
      <protection locked="1" hidden="0"/>
    </xf>
    <xf numFmtId="0" fontId="0" fillId="3" borderId="5" applyNumberFormat="0" applyFont="1" applyFill="1" applyBorder="1" applyAlignment="1" applyProtection="1">
      <alignment vertical="center"/>
      <protection locked="1" hidden="0"/>
    </xf>
    <xf numFmtId="0" fontId="0" fillId="3" borderId="6" applyNumberFormat="0" applyFont="1" applyFill="1" applyBorder="1" applyAlignment="1" applyProtection="1">
      <alignment vertical="center"/>
      <protection locked="1" hidden="0"/>
    </xf>
    <xf numFmtId="49" fontId="4" fillId="4" borderId="7" applyNumberFormat="1" applyFont="1" applyFill="1" applyBorder="1" applyAlignment="1" applyProtection="1">
      <alignment vertical="center"/>
      <protection locked="1" hidden="0"/>
    </xf>
    <xf numFmtId="0" fontId="4" fillId="4" borderId="8" applyNumberFormat="0" applyFont="1" applyFill="1" applyBorder="1" applyAlignment="1" applyProtection="1">
      <alignment vertical="center"/>
      <protection locked="1" hidden="0"/>
    </xf>
    <xf numFmtId="0" fontId="4" fillId="4" borderId="9" applyNumberFormat="0" applyFont="1" applyFill="1" applyBorder="1" applyAlignment="1" applyProtection="1">
      <alignment vertical="center"/>
      <protection locked="1" hidden="0"/>
    </xf>
    <xf numFmtId="0" fontId="4" fillId="4" borderId="10" applyNumberFormat="0" applyFont="1" applyFill="1" applyBorder="1" applyAlignment="1" applyProtection="1">
      <alignment vertical="center"/>
      <protection locked="1" hidden="0"/>
    </xf>
    <xf numFmtId="0" fontId="0" fillId="3" borderId="12" applyNumberFormat="0" applyFont="1" applyFill="1" applyBorder="1" applyAlignment="1" applyProtection="1">
      <alignment vertical="center"/>
      <protection locked="1" hidden="0"/>
    </xf>
    <xf numFmtId="0" fontId="0" fillId="3" borderId="13" applyNumberFormat="0" applyFont="1" applyFill="1" applyBorder="1" applyAlignment="1" applyProtection="1">
      <alignment vertical="center"/>
      <protection locked="1" hidden="0"/>
    </xf>
    <xf numFmtId="0" fontId="0" fillId="3" borderId="14" applyNumberFormat="0" applyFont="1" applyFill="1" applyBorder="1" applyAlignment="1" applyProtection="1">
      <alignment vertical="center"/>
      <protection locked="1" hidden="0"/>
    </xf>
    <xf numFmtId="0" fontId="0" fillId="3" borderId="15" applyNumberFormat="0" applyFont="1" applyFill="1" applyBorder="1" applyAlignment="1" applyProtection="1">
      <alignment vertical="center"/>
      <protection locked="1" hidden="0"/>
    </xf>
    <xf numFmtId="0" fontId="0" fillId="3" borderId="16" applyNumberFormat="0" applyFont="1" applyFill="1" applyBorder="1" applyAlignment="1" applyProtection="1">
      <alignment vertical="center"/>
      <protection locked="1" hidden="0"/>
    </xf>
    <xf numFmtId="0" fontId="0" fillId="3" borderId="17" applyNumberFormat="0" applyFont="1" applyFill="1" applyBorder="1" applyAlignment="1" applyProtection="1">
      <alignment vertical="center"/>
      <protection locked="1" hidden="0"/>
    </xf>
    <xf numFmtId="0" fontId="0" fillId="3" borderId="18" applyNumberFormat="0" applyFont="1" applyFill="1" applyBorder="1" applyAlignment="1" applyProtection="1">
      <alignment vertical="center"/>
      <protection locked="1" hidden="0"/>
    </xf>
    <xf numFmtId="0" fontId="0" fillId="3" borderId="19" applyNumberFormat="0" applyFont="1" applyFill="1" applyBorder="1" applyAlignment="1" applyProtection="1">
      <alignment vertical="center"/>
      <protection locked="1" hidden="0"/>
    </xf>
    <xf numFmtId="0" fontId="0" fillId="3" borderId="20" applyNumberFormat="0" applyFont="1" applyFill="1" applyBorder="1" applyAlignment="1" applyProtection="1">
      <alignment vertical="center"/>
      <protection locked="1" hidden="0"/>
    </xf>
    <xf numFmtId="0" fontId="0" fillId="3" borderId="21" applyNumberFormat="0" applyFont="1" applyFill="1" applyBorder="1" applyAlignment="1" applyProtection="1">
      <alignment vertical="center"/>
      <protection locked="1" hidden="0"/>
    </xf>
    <xf numFmtId="0" fontId="0" fillId="3" borderId="22" applyNumberFormat="0" applyFont="1" applyFill="1" applyBorder="1" applyAlignment="1" applyProtection="1">
      <alignment vertical="center"/>
      <protection locked="1" hidden="0"/>
    </xf>
    <xf numFmtId="0" fontId="0" fillId="3" borderId="23" applyNumberFormat="0" applyFont="1" applyFill="1" applyBorder="1" applyAlignment="1" applyProtection="1">
      <alignment vertical="center"/>
      <protection locked="1" hidden="0"/>
    </xf>
    <xf numFmtId="0" fontId="0" fillId="3" borderId="24" applyNumberFormat="0" applyFont="1" applyFill="1" applyBorder="1" applyAlignment="1" applyProtection="1">
      <alignment vertical="center"/>
      <protection locked="1" hidden="0"/>
    </xf>
    <xf numFmtId="49" fontId="7" fillId="3" borderId="30" applyNumberFormat="1" applyFont="1" applyFill="1" applyBorder="1" applyAlignment="1" applyProtection="1">
      <alignment vertical="bottom"/>
      <protection locked="1" hidden="0"/>
    </xf>
    <xf numFmtId="49" fontId="7" fillId="3" borderId="33" applyNumberFormat="1" applyFont="1" applyFill="1" applyBorder="1" applyAlignment="1" applyProtection="1">
      <alignment vertical="bottom"/>
      <protection locked="1" hidden="0"/>
    </xf>
    <xf numFmtId="9" fontId="8" fillId="5" borderId="17" applyNumberFormat="1" applyFont="1" applyFill="1" applyBorder="1" applyAlignment="1" applyProtection="1">
      <alignment horizontal="center" vertical="bottom"/>
      <protection locked="1" hidden="0"/>
    </xf>
    <xf numFmtId="49" fontId="15" fillId="3" borderId="28" applyNumberFormat="1" applyFont="1" applyFill="1" applyBorder="1" applyAlignment="1" applyProtection="1">
      <alignment vertical="bottom"/>
      <protection locked="1" hidden="0"/>
    </xf>
    <xf numFmtId="63" fontId="15" fillId="3" borderId="16" applyNumberFormat="1" applyFont="1" applyFill="1" applyBorder="1" applyAlignment="1" applyProtection="1">
      <alignment vertical="bottom"/>
      <protection locked="1" hidden="0"/>
    </xf>
    <xf numFmtId="49" fontId="7" fillId="3" borderId="28" applyNumberFormat="1" applyFont="1" applyFill="1" applyBorder="1" applyAlignment="1" applyProtection="1">
      <alignment vertical="bottom"/>
      <protection locked="1" hidden="0"/>
    </xf>
    <xf numFmtId="49" fontId="19" fillId="7" borderId="28" applyNumberFormat="1" applyFont="1" applyFill="1" applyBorder="1" applyAlignment="1" applyProtection="1">
      <alignment horizontal="center" vertical="center"/>
      <protection locked="1" hidden="0"/>
    </xf>
    <xf numFmtId="49" fontId="19" fillId="7" borderId="16" applyNumberFormat="1" applyFont="1" applyFill="1" applyBorder="1" applyAlignment="1" applyProtection="1">
      <alignment horizontal="center" vertical="center"/>
      <protection locked="1" hidden="0"/>
    </xf>
    <xf numFmtId="49" fontId="7" fillId="3" borderId="28" applyNumberFormat="1" applyFont="1" applyFill="1" applyBorder="1" applyAlignment="1" applyProtection="1">
      <alignment vertical="bottom" wrapText="1"/>
      <protection locked="1" hidden="0"/>
    </xf>
    <xf numFmtId="64" fontId="14" fillId="3" borderId="16" applyNumberFormat="1" applyFont="1" applyFill="1" applyBorder="1" applyAlignment="1" applyProtection="1">
      <alignment vertical="bottom"/>
      <protection locked="1" hidden="0"/>
    </xf>
    <xf numFmtId="2" fontId="14" fillId="3" borderId="16" applyNumberFormat="1" applyFont="1" applyFill="1" applyBorder="1" applyAlignment="1" applyProtection="1">
      <alignment vertical="bottom"/>
      <protection locked="1" hidden="0"/>
    </xf>
    <xf numFmtId="49" fontId="12" fillId="7" borderId="28" applyNumberFormat="1" applyFont="1" applyFill="1" applyBorder="1" applyAlignment="1" applyProtection="1">
      <alignment horizontal="center" vertical="center"/>
      <protection locked="1" hidden="0"/>
    </xf>
    <xf numFmtId="0" fontId="8" fillId="5" borderId="16" applyNumberFormat="0" applyFont="1" applyFill="1" applyBorder="1" applyAlignment="1" applyProtection="1">
      <alignment horizontal="center" vertical="bottom"/>
      <protection locked="1" hidden="0"/>
    </xf>
    <xf numFmtId="49" fontId="14" fillId="3" borderId="16" applyNumberFormat="1" applyFont="1" applyFill="1" applyBorder="1" applyAlignment="1" applyProtection="1">
      <alignment vertical="top" wrapText="1"/>
      <protection locked="1" hidden="0"/>
    </xf>
    <xf numFmtId="49" fontId="6" fillId="2" borderId="25" applyNumberFormat="1" applyFont="1" applyFill="1" applyBorder="1" applyAlignment="1" applyProtection="1">
      <alignment horizontal="center" vertical="center"/>
      <protection locked="1" hidden="0"/>
    </xf>
    <xf numFmtId="1" fontId="6" fillId="2" borderId="26" applyNumberFormat="1" applyFont="1" applyFill="1" applyBorder="1" applyAlignment="1" applyProtection="1">
      <alignment horizontal="center" vertical="center"/>
      <protection locked="1" hidden="0"/>
    </xf>
    <xf numFmtId="1" fontId="6" fillId="2" borderId="27" applyNumberFormat="1" applyFont="1" applyFill="1" applyBorder="1" applyAlignment="1" applyProtection="1">
      <alignment horizontal="center" vertical="center"/>
      <protection locked="1" hidden="0"/>
    </xf>
    <xf numFmtId="0" fontId="0" fillId="3" borderId="28" applyNumberFormat="0" applyFont="1" applyFill="1" applyBorder="1" applyAlignment="1" applyProtection="1">
      <alignment vertical="bottom"/>
      <protection locked="1" hidden="0"/>
    </xf>
    <xf numFmtId="0" fontId="0" fillId="3" borderId="16" applyNumberFormat="0" applyFont="1" applyFill="1" applyBorder="1" applyAlignment="1" applyProtection="1">
      <alignment vertical="bottom"/>
      <protection locked="1" hidden="0"/>
    </xf>
    <xf numFmtId="0" fontId="0" fillId="3" borderId="17" applyNumberFormat="0" applyFont="1" applyFill="1" applyBorder="1" applyAlignment="1" applyProtection="1">
      <alignment vertical="bottom"/>
      <protection locked="1" hidden="0"/>
    </xf>
    <xf numFmtId="49" fontId="7" fillId="3" borderId="16" applyNumberFormat="1" applyFont="1" applyFill="1" applyBorder="1" applyAlignment="1" applyProtection="1">
      <alignment vertical="bottom"/>
      <protection locked="1" hidden="0"/>
    </xf>
    <xf numFmtId="59" fontId="8" fillId="5" borderId="16" applyNumberFormat="1" applyFont="1" applyFill="1" applyBorder="1" applyAlignment="1" applyProtection="1">
      <alignment horizontal="center" vertical="bottom"/>
      <protection locked="1" hidden="0"/>
    </xf>
    <xf numFmtId="49" fontId="7" fillId="3" borderId="29" applyNumberFormat="1" applyFont="1" applyFill="1" applyBorder="1" applyAlignment="1" applyProtection="1">
      <alignment vertical="bottom"/>
      <protection locked="1" hidden="0"/>
    </xf>
    <xf numFmtId="0" fontId="0" fillId="3" borderId="30" applyNumberFormat="0" applyFont="1" applyFill="1" applyBorder="1" applyAlignment="1" applyProtection="1">
      <alignment vertical="bottom"/>
      <protection locked="1" hidden="0"/>
    </xf>
    <xf numFmtId="0" fontId="0" fillId="3" borderId="31" applyNumberFormat="0" applyFont="1" applyFill="1" applyBorder="1" applyAlignment="1" applyProtection="1">
      <alignment vertical="bottom"/>
      <protection locked="1" hidden="0"/>
    </xf>
    <xf numFmtId="60" fontId="9" fillId="6" borderId="32" applyNumberFormat="1" applyFont="1" applyFill="1" applyBorder="1" applyAlignment="1" applyProtection="1">
      <alignment horizontal="center" vertical="center"/>
      <protection locked="1" hidden="0"/>
    </xf>
    <xf numFmtId="61" fontId="9" fillId="6" borderId="32" applyNumberFormat="1" applyFont="1" applyFill="1" applyBorder="1" applyAlignment="1" applyProtection="1">
      <alignment horizontal="center" vertical="center"/>
      <protection locked="1" hidden="0"/>
    </xf>
    <xf numFmtId="0" fontId="0" fillId="3" borderId="34" applyNumberFormat="0" applyFont="1" applyFill="1" applyBorder="1" applyAlignment="1" applyProtection="1">
      <alignment vertical="bottom"/>
      <protection locked="1" hidden="0"/>
    </xf>
    <xf numFmtId="49" fontId="7" fillId="3" borderId="34" applyNumberFormat="1" applyFont="1" applyFill="1" applyBorder="1" applyAlignment="1" applyProtection="1">
      <alignment vertical="bottom"/>
      <protection locked="1" hidden="0"/>
    </xf>
    <xf numFmtId="0" fontId="0" fillId="3" borderId="35" applyNumberFormat="0" applyFont="1" applyFill="1" applyBorder="1" applyAlignment="1" applyProtection="1">
      <alignment vertical="bottom"/>
      <protection locked="1" hidden="0"/>
    </xf>
    <xf numFmtId="3" fontId="9" fillId="6" borderId="32" applyNumberFormat="1" applyFont="1" applyFill="1" applyBorder="1" applyAlignment="1" applyProtection="1">
      <alignment horizontal="center" vertical="center"/>
      <protection locked="1" hidden="0"/>
    </xf>
    <xf numFmtId="0" fontId="0" fillId="3" borderId="36" applyNumberFormat="0" applyFont="1" applyFill="1" applyBorder="1" applyAlignment="1" applyProtection="1">
      <alignment vertical="bottom"/>
      <protection locked="1" hidden="0"/>
    </xf>
    <xf numFmtId="0" fontId="0" fillId="3" borderId="37" applyNumberFormat="0" applyFont="1" applyFill="1" applyBorder="1" applyAlignment="1" applyProtection="1">
      <alignment vertical="bottom"/>
      <protection locked="1" hidden="0"/>
    </xf>
    <xf numFmtId="0" fontId="0" fillId="3" borderId="38" applyNumberFormat="0" applyFont="1" applyFill="1" applyBorder="1" applyAlignment="1" applyProtection="1">
      <alignment vertical="bottom"/>
      <protection locked="1" hidden="0"/>
    </xf>
    <xf numFmtId="49" fontId="10" fillId="3" borderId="28" applyNumberFormat="1" applyFont="1" applyFill="1" applyBorder="1" applyAlignment="1" applyProtection="1">
      <alignment vertical="bottom"/>
      <protection locked="1" hidden="0"/>
    </xf>
    <xf numFmtId="0" fontId="11" fillId="3" borderId="16" applyNumberFormat="0" applyFont="1" applyFill="1" applyBorder="1" applyAlignment="1" applyProtection="1">
      <alignment vertical="bottom"/>
      <protection locked="1" hidden="0"/>
    </xf>
    <xf numFmtId="49" fontId="12" fillId="7" borderId="16" applyNumberFormat="1" applyFont="1" applyFill="1" applyBorder="1" applyAlignment="1" applyProtection="1">
      <alignment horizontal="center" vertical="center"/>
      <protection locked="1" hidden="0"/>
    </xf>
    <xf numFmtId="49" fontId="13" fillId="7" borderId="16" applyNumberFormat="1" applyFont="1" applyFill="1" applyBorder="1" applyAlignment="1" applyProtection="1">
      <alignment horizontal="center" vertical="center"/>
      <protection locked="1" hidden="0"/>
    </xf>
    <xf numFmtId="49" fontId="14" fillId="3" borderId="28" applyNumberFormat="1" applyFont="1" applyFill="1" applyBorder="1" applyAlignment="1" applyProtection="1">
      <alignment vertical="bottom"/>
      <protection locked="1" hidden="0"/>
    </xf>
    <xf numFmtId="62" fontId="14" fillId="3" borderId="16" applyNumberFormat="1" applyFont="1" applyFill="1" applyBorder="1" applyAlignment="1" applyProtection="1">
      <alignment vertical="bottom"/>
      <protection locked="1" hidden="0"/>
    </xf>
    <xf numFmtId="0" fontId="0" fillId="3" borderId="39" applyNumberFormat="0" applyFont="1" applyFill="1" applyBorder="1" applyAlignment="1" applyProtection="1">
      <alignment vertical="bottom"/>
      <protection locked="1" hidden="0"/>
    </xf>
    <xf numFmtId="0" fontId="0" fillId="3" borderId="23" applyNumberFormat="0" applyFont="1" applyFill="1" applyBorder="1" applyAlignment="1" applyProtection="1">
      <alignment vertical="bottom"/>
      <protection locked="1" hidden="0"/>
    </xf>
    <xf numFmtId="0" fontId="0" fillId="3" borderId="24" applyNumberFormat="0" applyFont="1" applyFill="1" applyBorder="1" applyAlignment="1" applyProtection="1">
      <alignment vertical="bottom"/>
      <protection locked="1" hidden="0"/>
    </xf>
    <xf numFmtId="49" fontId="20" fillId="3" borderId="28" applyNumberFormat="1" applyFont="1" applyFill="1" applyBorder="1" applyAlignment="1" applyProtection="1">
      <alignment vertical="bottom"/>
      <protection locked="1" hidden="0"/>
    </xf>
    <xf numFmtId="49" fontId="14" fillId="3" borderId="16" applyNumberFormat="1" applyFont="1" applyFill="1" applyBorder="1" applyAlignment="1" applyProtection="1">
      <alignment vertical="bottom"/>
      <protection locked="1" hidden="0"/>
    </xf>
    <xf numFmtId="49" fontId="7" fillId="3" borderId="39" applyNumberFormat="1" applyFont="1" applyFill="1" applyBorder="1" applyAlignment="1" applyProtection="1">
      <alignment vertical="bottom" wrapText="1"/>
      <protection locked="1" hidden="0"/>
    </xf>
    <xf numFmtId="59" fontId="21" fillId="8" borderId="16" applyNumberFormat="1" applyFont="1" applyFill="1" applyBorder="1" applyAlignment="1" applyProtection="1">
      <alignment vertical="bottom"/>
      <protection locked="0" hidden="0"/>
    </xf>
    <xf numFmtId="49" fontId="20" fillId="3" borderId="28" applyNumberFormat="1" applyFont="1" applyFill="1" applyBorder="1" applyAlignment="1" applyProtection="1">
      <alignment vertical="bottom" wrapText="1"/>
      <protection locked="1" hidden="0"/>
    </xf>
    <xf numFmtId="64" fontId="21" fillId="8" borderId="16" applyNumberFormat="1" applyFont="1" applyFill="1" applyBorder="1" applyAlignment="1" applyProtection="1">
      <alignment vertical="bottom"/>
      <protection locked="0" hidden="0"/>
    </xf>
    <xf numFmtId="59" fontId="24" fillId="3" borderId="16" applyNumberFormat="1" applyFont="1" applyFill="1" applyBorder="1" applyAlignment="1" applyProtection="1">
      <alignment vertical="bottom"/>
      <protection locked="1" hidden="0"/>
    </xf>
    <xf numFmtId="49" fontId="19" fillId="7" borderId="16" applyNumberFormat="1" applyFont="1" applyFill="1" applyBorder="1" applyAlignment="1" applyProtection="1">
      <alignment horizontal="center" vertical="center" wrapText="1"/>
      <protection locked="1" hidden="0"/>
    </xf>
    <xf numFmtId="49" fontId="21" fillId="8" borderId="16" applyNumberFormat="1" applyFont="1" applyFill="1" applyBorder="1" applyAlignment="1" applyProtection="1">
      <alignment vertical="bottom" wrapText="1"/>
      <protection locked="0" hidden="0"/>
    </xf>
    <xf numFmtId="62" fontId="21" fillId="8" borderId="16" applyNumberFormat="1" applyFont="1" applyFill="1" applyBorder="1" applyAlignment="1" applyProtection="1">
      <alignment vertical="bottom"/>
      <protection locked="0" hidden="0"/>
    </xf>
    <xf numFmtId="62" fontId="14" fillId="3" borderId="16" applyNumberFormat="1" applyFont="1" applyFill="1" applyBorder="1" applyAlignment="1" applyProtection="1">
      <alignment horizontal="right" vertical="bottom"/>
      <protection locked="1" hidden="0"/>
    </xf>
    <xf numFmtId="62" fontId="24" fillId="9" borderId="43" applyNumberFormat="1" applyFont="1" applyFill="1" applyBorder="1" applyAlignment="1" applyProtection="1">
      <alignment horizontal="right" vertical="bottom" wrapText="1"/>
      <protection locked="1" hidden="0"/>
    </xf>
    <xf numFmtId="59" fontId="24" fillId="9" borderId="43" applyNumberFormat="1" applyFont="1" applyFill="1" applyBorder="1" applyAlignment="1" applyProtection="1">
      <alignment horizontal="right" vertical="bottom"/>
      <protection locked="1" hidden="0"/>
    </xf>
    <xf numFmtId="62" fontId="24" fillId="9" borderId="43" applyNumberFormat="1" applyFont="1" applyFill="1" applyBorder="1" applyAlignment="1" applyProtection="1">
      <alignment horizontal="right" vertical="bottom"/>
      <protection locked="1" hidden="0"/>
    </xf>
    <xf numFmtId="49" fontId="14" fillId="3" borderId="28" applyNumberFormat="1" applyFont="1" applyFill="1" applyBorder="1" applyAlignment="1" applyProtection="1">
      <alignment vertical="bottom" wrapText="1"/>
      <protection locked="1" hidden="0"/>
    </xf>
    <xf numFmtId="49" fontId="24" fillId="3" borderId="28" applyNumberFormat="1" applyFont="1" applyFill="1" applyBorder="1" applyAlignment="1" applyProtection="1">
      <alignment vertical="bottom" wrapText="1"/>
      <protection locked="1" hidden="0"/>
    </xf>
    <xf numFmtId="62" fontId="24" fillId="9" borderId="16" applyNumberFormat="1" applyFont="1" applyFill="1" applyBorder="1" applyAlignment="1" applyProtection="1">
      <alignment vertical="bottom" wrapText="1"/>
      <protection locked="1" hidden="0"/>
    </xf>
    <xf numFmtId="62" fontId="24" fillId="9" borderId="16" applyNumberFormat="1" applyFont="1" applyFill="1" applyBorder="1" applyAlignment="1" applyProtection="1">
      <alignment vertical="bottom"/>
      <protection locked="1" hidden="0"/>
    </xf>
    <xf numFmtId="164" fontId="21" fillId="8" borderId="16" applyNumberFormat="1" applyFont="1" applyFill="1" applyBorder="1" applyAlignment="1" applyProtection="1">
      <alignment vertical="bottom"/>
      <protection locked="0" hidden="0"/>
    </xf>
    <xf numFmtId="49" fontId="21" fillId="8" borderId="16" applyNumberFormat="1" applyFont="1" applyFill="1" applyBorder="1" applyAlignment="1" applyProtection="1">
      <alignment vertical="bottom"/>
      <protection locked="1" hidden="0"/>
    </xf>
    <xf numFmtId="0" fontId="14" fillId="3" borderId="16" applyNumberFormat="0" applyFont="1" applyFill="1" applyBorder="1" applyAlignment="1" applyProtection="1">
      <alignment vertical="bottom"/>
      <protection locked="1" hidden="0"/>
    </xf>
    <xf numFmtId="0" fontId="14" fillId="3" borderId="17" applyNumberFormat="0" applyFont="1" applyFill="1" applyBorder="1" applyAlignment="1" applyProtection="1">
      <alignment vertical="bottom"/>
      <protection locked="1" hidden="0"/>
    </xf>
    <xf numFmtId="49" fontId="21" fillId="8" borderId="16" applyNumberFormat="1" applyFont="1" applyFill="1" applyBorder="1" applyAlignment="1" applyProtection="1">
      <alignment vertical="bottom"/>
      <protection locked="0" hidden="0"/>
    </xf>
    <xf numFmtId="1" fontId="22" fillId="8" borderId="16" applyNumberFormat="1" applyFont="1" applyFill="1" applyBorder="1" applyAlignment="1" applyProtection="1">
      <alignment vertical="bottom"/>
      <protection locked="0" hidden="0"/>
    </xf>
    <xf numFmtId="65" fontId="21" fillId="8" borderId="16" applyNumberFormat="1" applyFont="1" applyFill="1" applyBorder="1" applyAlignment="1" applyProtection="1">
      <alignment vertical="bottom"/>
      <protection locked="0" hidden="0"/>
    </xf>
    <xf numFmtId="0" fontId="14" fillId="3" borderId="28" applyNumberFormat="0" applyFont="1" applyFill="1" applyBorder="1" applyAlignment="1" applyProtection="1">
      <alignment vertical="bottom"/>
      <protection locked="1" hidden="0"/>
    </xf>
    <xf numFmtId="0" fontId="21" fillId="8" borderId="16" applyNumberFormat="1" applyFont="1" applyFill="1" applyBorder="1" applyAlignment="1" applyProtection="1">
      <alignment vertical="bottom"/>
      <protection locked="0" hidden="0"/>
    </xf>
    <xf numFmtId="66" fontId="21" fillId="8" borderId="16" applyNumberFormat="1" applyFont="1" applyFill="1" applyBorder="1" applyAlignment="1" applyProtection="1">
      <alignment vertical="bottom"/>
      <protection locked="0" hidden="0"/>
    </xf>
    <xf numFmtId="65" fontId="21" fillId="8" borderId="16" applyNumberFormat="1" applyFont="1" applyFill="1" applyBorder="1" applyAlignment="1" applyProtection="1">
      <alignment horizontal="center" vertical="bottom"/>
      <protection locked="0" hidden="0"/>
    </xf>
    <xf numFmtId="1" fontId="13" fillId="7" borderId="16" applyNumberFormat="1" applyFont="1" applyFill="1" applyBorder="1" applyAlignment="1" applyProtection="1">
      <alignment horizontal="center" vertical="center"/>
      <protection locked="1" hidden="0"/>
    </xf>
    <xf numFmtId="1" fontId="7" fillId="3" borderId="23" applyNumberFormat="1" applyFont="1" applyFill="1" applyBorder="1" applyAlignment="1" applyProtection="1">
      <alignment vertical="bottom"/>
      <protection locked="1" hidden="0"/>
    </xf>
    <xf numFmtId="1" fontId="7" fillId="3" borderId="24" applyNumberFormat="1" applyFont="1" applyFill="1" applyBorder="1" applyAlignment="1" applyProtection="1">
      <alignment vertical="bottom"/>
      <protection locked="1" hidden="0"/>
    </xf>
    <xf numFmtId="1" fontId="14" fillId="3" borderId="16" applyNumberFormat="1" applyFont="1" applyFill="1" applyBorder="1" applyAlignment="1" applyProtection="1">
      <alignment horizontal="right" vertical="bottom"/>
      <protection locked="1" hidden="0"/>
    </xf>
    <xf numFmtId="59" fontId="14" fillId="3" borderId="16" applyNumberFormat="1" applyFont="1" applyFill="1" applyBorder="1" applyAlignment="1" applyProtection="1">
      <alignment horizontal="right" vertical="bottom"/>
      <protection locked="1" hidden="0"/>
    </xf>
    <xf numFmtId="49" fontId="14" fillId="3" borderId="40" applyNumberFormat="1" applyFont="1" applyFill="1" applyBorder="1" applyAlignment="1" applyProtection="1">
      <alignment vertical="bottom"/>
      <protection locked="1" hidden="0"/>
    </xf>
    <xf numFmtId="1" fontId="14" fillId="3" borderId="41" applyNumberFormat="1" applyFont="1" applyFill="1" applyBorder="1" applyAlignment="1" applyProtection="1">
      <alignment horizontal="right" vertical="bottom"/>
      <protection locked="1" hidden="0"/>
    </xf>
    <xf numFmtId="59" fontId="14" fillId="3" borderId="41" applyNumberFormat="1" applyFont="1" applyFill="1" applyBorder="1" applyAlignment="1" applyProtection="1">
      <alignment horizontal="right" vertical="bottom"/>
      <protection locked="1" hidden="0"/>
    </xf>
    <xf numFmtId="62" fontId="14" fillId="3" borderId="41" applyNumberFormat="1" applyFont="1" applyFill="1" applyBorder="1" applyAlignment="1" applyProtection="1">
      <alignment horizontal="right" vertical="bottom"/>
      <protection locked="1" hidden="0"/>
    </xf>
    <xf numFmtId="65" fontId="24" fillId="5" borderId="16" applyNumberFormat="1" applyFont="1" applyFill="1" applyBorder="1" applyAlignment="1" applyProtection="1">
      <alignment horizontal="center" vertical="bottom"/>
      <protection locked="1" hidden="0"/>
    </xf>
    <xf numFmtId="65" fontId="14" fillId="3" borderId="16" applyNumberFormat="1" applyFont="1" applyFill="1" applyBorder="1" applyAlignment="1" applyProtection="1">
      <alignment horizontal="right" vertical="bottom"/>
      <protection locked="1" hidden="0"/>
    </xf>
    <xf numFmtId="65" fontId="14" fillId="3" borderId="41" applyNumberFormat="1" applyFont="1" applyFill="1" applyBorder="1" applyAlignment="1" applyProtection="1">
      <alignment horizontal="right" vertical="bottom"/>
      <protection locked="1" hidden="0"/>
    </xf>
    <xf numFmtId="49" fontId="14" fillId="3" borderId="16" applyNumberFormat="1" applyFont="1" applyFill="1" applyBorder="1" applyAlignment="1" applyProtection="1">
      <alignment horizontal="center" vertical="bottom"/>
      <protection locked="1" hidden="0"/>
    </xf>
    <xf numFmtId="0" fontId="24" fillId="5" borderId="16" applyNumberFormat="0" applyFont="1" applyFill="1" applyBorder="1" applyAlignment="1" applyProtection="1">
      <alignment horizontal="center" vertical="bottom"/>
      <protection locked="1" hidden="0"/>
    </xf>
    <xf numFmtId="49" fontId="20" fillId="3" borderId="16" applyNumberFormat="1" applyFont="1" applyFill="1" applyBorder="1" applyAlignment="1" applyProtection="1">
      <alignment vertical="bottom"/>
      <protection locked="1" hidden="0"/>
    </xf>
    <xf numFmtId="64" fontId="14" fillId="3" borderId="16" applyNumberFormat="1" applyFont="1" applyFill="1" applyBorder="1" applyAlignment="1" applyProtection="1">
      <alignment horizontal="right" vertical="bottom"/>
      <protection locked="1" hidden="0"/>
    </xf>
    <xf numFmtId="64" fontId="14" fillId="3" borderId="41" applyNumberFormat="1" applyFont="1" applyFill="1" applyBorder="1" applyAlignment="1" applyProtection="1">
      <alignment horizontal="right" vertical="bottom"/>
      <protection locked="1" hidden="0"/>
    </xf>
    <xf numFmtId="49" fontId="24" fillId="9" borderId="42" applyNumberFormat="1" applyFont="1" applyFill="1" applyBorder="1" applyAlignment="1" applyProtection="1">
      <alignment vertical="bottom"/>
      <protection locked="1" hidden="0"/>
    </xf>
    <xf numFmtId="49" fontId="14" fillId="3" borderId="39" applyNumberFormat="1" applyFont="1" applyFill="1" applyBorder="1" applyAlignment="1" applyProtection="1">
      <alignment vertical="bottom"/>
      <protection locked="1" hidden="0"/>
    </xf>
    <xf numFmtId="59" fontId="24" fillId="3" borderId="23" applyNumberFormat="1" applyFont="1" applyFill="1" applyBorder="1" applyAlignment="1" applyProtection="1">
      <alignment vertical="bottom"/>
      <protection locked="1" hidden="0"/>
    </xf>
    <xf numFmtId="49" fontId="14" fillId="3" borderId="23" applyNumberFormat="1" applyFont="1" applyFill="1" applyBorder="1" applyAlignment="1" applyProtection="1">
      <alignment vertical="bottom"/>
      <protection locked="1" hidden="0"/>
    </xf>
    <xf numFmtId="0" fontId="14" fillId="3" borderId="23" applyNumberFormat="0" applyFont="1" applyFill="1" applyBorder="1" applyAlignment="1" applyProtection="1">
      <alignment vertical="bottom"/>
      <protection locked="1" hidden="0"/>
    </xf>
    <xf numFmtId="0" fontId="14" fillId="3" borderId="24" applyNumberFormat="0" applyFont="1" applyFill="1" applyBorder="1" applyAlignment="1" applyProtection="1">
      <alignment vertical="bottom"/>
      <protection locked="1" hidden="0"/>
    </xf>
    <xf numFmtId="49" fontId="14" fillId="3" borderId="16" applyNumberFormat="1" applyFont="1" applyFill="1" applyBorder="1" applyAlignment="1" applyProtection="1">
      <alignment vertical="bottom" wrapText="1"/>
      <protection locked="1" hidden="0"/>
    </xf>
    <xf numFmtId="62" fontId="24" fillId="3" borderId="16" applyNumberFormat="1" applyFont="1" applyFill="1" applyBorder="1" applyAlignment="1" applyProtection="1">
      <alignment vertical="bottom"/>
      <protection locked="1" hidden="0"/>
    </xf>
    <xf numFmtId="64" fontId="24" fillId="3" borderId="16" applyNumberFormat="1" applyFont="1" applyFill="1" applyBorder="1" applyAlignment="1" applyProtection="1">
      <alignment vertical="bottom"/>
      <protection locked="1" hidden="0"/>
    </xf>
    <xf numFmtId="2" fontId="24" fillId="3" borderId="16" applyNumberFormat="1" applyFont="1" applyFill="1" applyBorder="1" applyAlignment="1" applyProtection="1">
      <alignment vertical="bottom"/>
      <protection locked="1" hidden="0"/>
    </xf>
    <xf numFmtId="65" fontId="24" fillId="3" borderId="16" applyNumberFormat="1" applyFont="1" applyFill="1" applyBorder="1" applyAlignment="1" applyProtection="1">
      <alignment vertical="bottom"/>
      <protection locked="1" hidden="0"/>
    </xf>
    <xf numFmtId="165" fontId="24" fillId="3" borderId="16" applyNumberFormat="1" applyFont="1" applyFill="1" applyBorder="1" applyAlignment="1" applyProtection="1">
      <alignment vertical="bottom"/>
      <protection locked="1" hidden="0"/>
    </xf>
    <xf numFmtId="0" fontId="24" fillId="3" borderId="16" applyNumberFormat="1" applyFont="1" applyFill="1" applyBorder="1" applyAlignment="1" applyProtection="1">
      <alignment vertical="bottom"/>
      <protection locked="1" hidden="0"/>
    </xf>
    <xf numFmtId="49" fontId="19" fillId="7" borderId="28" applyNumberFormat="1" applyFont="1" applyFill="1" applyBorder="1" applyAlignment="1" applyProtection="1">
      <alignment horizontal="center" vertical="center" wrapText="1"/>
      <protection locked="1" hidden="0"/>
    </xf>
    <xf numFmtId="0" fontId="25" fillId="3" borderId="26" applyNumberFormat="0" applyFont="1" applyFill="1" applyBorder="1" applyAlignment="1" applyProtection="1">
      <alignment vertical="bottom"/>
      <protection locked="1" hidden="0"/>
    </xf>
    <xf numFmtId="1" fontId="0" fillId="3" borderId="26" applyNumberFormat="1" applyFont="1" applyFill="1" applyBorder="1" applyAlignment="1" applyProtection="1">
      <alignment vertical="bottom"/>
      <protection locked="1" hidden="0"/>
    </xf>
    <xf numFmtId="0" fontId="25" fillId="3" borderId="27" applyNumberFormat="0" applyFont="1" applyFill="1" applyBorder="1" applyAlignment="1" applyProtection="1">
      <alignment vertical="bottom"/>
      <protection locked="1" hidden="0"/>
    </xf>
    <xf numFmtId="49" fontId="26" fillId="10" borderId="28" applyNumberFormat="1" applyFont="1" applyFill="1" applyBorder="1" applyAlignment="1" applyProtection="1">
      <alignment vertical="bottom"/>
      <protection locked="1" hidden="0"/>
    </xf>
    <xf numFmtId="1" fontId="26" fillId="10" borderId="16" applyNumberFormat="1" applyFont="1" applyFill="1" applyBorder="1" applyAlignment="1" applyProtection="1">
      <alignment horizontal="right" vertical="bottom"/>
      <protection locked="1" hidden="0"/>
    </xf>
    <xf numFmtId="49" fontId="14" fillId="3" borderId="16" applyNumberFormat="1" applyFont="1" applyFill="1" applyBorder="1" applyAlignment="1" applyProtection="1">
      <alignment horizontal="right" vertical="bottom"/>
      <protection locked="1" hidden="0"/>
    </xf>
    <xf numFmtId="49" fontId="24" fillId="11" borderId="42" applyNumberFormat="1" applyFont="1" applyFill="1" applyBorder="1" applyAlignment="1" applyProtection="1">
      <alignment vertical="bottom"/>
      <protection locked="1" hidden="0"/>
    </xf>
    <xf numFmtId="62" fontId="24" fillId="11" borderId="43" applyNumberFormat="1" applyFont="1" applyFill="1" applyBorder="1" applyAlignment="1" applyProtection="1">
      <alignment horizontal="right" vertical="bottom"/>
      <protection locked="1" hidden="0"/>
    </xf>
    <xf numFmtId="49" fontId="24" fillId="11" borderId="44" applyNumberFormat="1" applyFont="1" applyFill="1" applyBorder="1" applyAlignment="1" applyProtection="1">
      <alignment vertical="bottom"/>
      <protection locked="1" hidden="0"/>
    </xf>
    <xf numFmtId="62" fontId="24" fillId="11" borderId="45" applyNumberFormat="1" applyFont="1" applyFill="1" applyBorder="1" applyAlignment="1" applyProtection="1">
      <alignment horizontal="right" vertical="bottom"/>
      <protection locked="1" hidden="0"/>
    </xf>
    <xf numFmtId="49" fontId="24" fillId="9" borderId="44" applyNumberFormat="1" applyFont="1" applyFill="1" applyBorder="1" applyAlignment="1" applyProtection="1">
      <alignment vertical="bottom"/>
      <protection locked="1" hidden="0"/>
    </xf>
    <xf numFmtId="62" fontId="24" fillId="9" borderId="45" applyNumberFormat="1" applyFont="1" applyFill="1" applyBorder="1" applyAlignment="1" applyProtection="1">
      <alignment horizontal="right" vertical="bottom"/>
      <protection locked="1" hidden="0"/>
    </xf>
    <xf numFmtId="0" fontId="14" fillId="3" borderId="39" applyNumberFormat="0" applyFont="1" applyFill="1" applyBorder="1" applyAlignment="1" applyProtection="1">
      <alignment vertical="bottom"/>
      <protection locked="1" hidden="0"/>
    </xf>
    <xf numFmtId="62" fontId="24" fillId="3" borderId="23" applyNumberFormat="1" applyFont="1" applyFill="1" applyBorder="1" applyAlignment="1" applyProtection="1">
      <alignment vertical="bottom"/>
      <protection locked="1" hidden="0"/>
    </xf>
    <xf numFmtId="62" fontId="24" fillId="9" borderId="34" applyNumberFormat="1" applyFont="1" applyFill="1" applyBorder="1" applyAlignment="1" applyProtection="1">
      <alignment horizontal="right" vertical="bottom"/>
      <protection locked="1" hidden="0"/>
    </xf>
    <xf numFmtId="62" fontId="24" fillId="3" borderId="34" applyNumberFormat="1" applyFont="1" applyFill="1" applyBorder="1" applyAlignment="1" applyProtection="1">
      <alignment horizontal="right" vertical="bottom"/>
      <protection locked="1" hidden="0"/>
    </xf>
    <xf numFmtId="64" fontId="24" fillId="3" borderId="34" applyNumberFormat="1" applyFont="1" applyFill="1" applyBorder="1" applyAlignment="1" applyProtection="1">
      <alignment horizontal="right" vertical="bottom"/>
      <protection locked="1" hidden="0"/>
    </xf>
    <xf numFmtId="62" fontId="24" fillId="9" borderId="35" applyNumberFormat="1" applyFont="1" applyFill="1" applyBorder="1" applyAlignment="1" applyProtection="1">
      <alignment horizontal="right" vertical="bottom"/>
      <protection locked="1" hidden="0"/>
    </xf>
    <xf numFmtId="62" fontId="24" fillId="3" borderId="35" applyNumberFormat="1" applyFont="1" applyFill="1" applyBorder="1" applyAlignment="1" applyProtection="1">
      <alignment horizontal="right" vertical="bottom"/>
      <protection locked="1" hidden="0"/>
    </xf>
    <xf numFmtId="64" fontId="24" fillId="3" borderId="35" applyNumberFormat="1" applyFont="1" applyFill="1" applyBorder="1" applyAlignment="1" applyProtection="1">
      <alignment horizontal="right" vertical="bottom"/>
      <protection locked="1" hidden="0"/>
    </xf>
    <xf numFmtId="49" fontId="24" fillId="3" borderId="33" applyNumberFormat="1" applyFont="1" applyFill="1" applyBorder="1" applyAlignment="1" applyProtection="1">
      <alignment vertical="bottom"/>
      <protection locked="1" hidden="0"/>
    </xf>
    <xf numFmtId="49" fontId="19" fillId="7" borderId="34" applyNumberFormat="1" applyFont="1" applyFill="1" applyBorder="1" applyAlignment="1" applyProtection="1">
      <alignment horizontal="right" vertical="bottom"/>
      <protection locked="1" hidden="0"/>
    </xf>
    <xf numFmtId="49" fontId="19" fillId="7" borderId="29" applyNumberFormat="1" applyFont="1" applyFill="1" applyBorder="1" applyAlignment="1" applyProtection="1">
      <alignment horizontal="center" vertical="center"/>
      <protection locked="1" hidden="0"/>
    </xf>
    <xf numFmtId="49" fontId="19" fillId="7" borderId="30" applyNumberFormat="1" applyFont="1" applyFill="1" applyBorder="1" applyAlignment="1" applyProtection="1">
      <alignment horizontal="center" vertical="bottom"/>
      <protection locked="1" hidden="0"/>
    </xf>
    <xf numFmtId="1" fontId="13" fillId="7" borderId="30" applyNumberFormat="1" applyFont="1" applyFill="1" applyBorder="1" applyAlignment="1" applyProtection="1">
      <alignment horizontal="center" vertical="bottom"/>
      <protection locked="1" hidden="0"/>
    </xf>
    <xf numFmtId="1" fontId="14" fillId="3" borderId="30" applyNumberFormat="1" applyFont="1" applyFill="1" applyBorder="1" applyAlignment="1" applyProtection="1">
      <alignment horizontal="right" vertical="bottom"/>
      <protection locked="1" hidden="0"/>
    </xf>
    <xf numFmtId="1" fontId="13" fillId="7" borderId="31" applyNumberFormat="1" applyFont="1" applyFill="1" applyBorder="1" applyAlignment="1" applyProtection="1">
      <alignment horizontal="center" vertical="bottom"/>
      <protection locked="1" hidden="0"/>
    </xf>
    <xf numFmtId="1" fontId="14" fillId="3" borderId="33" applyNumberFormat="1" applyFont="1" applyFill="1" applyBorder="1" applyAlignment="1" applyProtection="1">
      <alignment vertical="bottom"/>
      <protection locked="1" hidden="0"/>
    </xf>
    <xf numFmtId="1" fontId="14" fillId="3" borderId="34" applyNumberFormat="1" applyFont="1" applyFill="1" applyBorder="1" applyAlignment="1" applyProtection="1">
      <alignment horizontal="right" vertical="bottom"/>
      <protection locked="1" hidden="0"/>
    </xf>
    <xf numFmtId="49" fontId="19" fillId="7" borderId="35" applyNumberFormat="1" applyFont="1" applyFill="1" applyBorder="1" applyAlignment="1" applyProtection="1">
      <alignment horizontal="right" vertical="bottom"/>
      <protection locked="1" hidden="0"/>
    </xf>
    <xf numFmtId="49" fontId="14" fillId="3" borderId="33" applyNumberFormat="1" applyFont="1" applyFill="1" applyBorder="1" applyAlignment="1" applyProtection="1">
      <alignment vertical="bottom"/>
      <protection locked="1" hidden="0"/>
    </xf>
    <xf numFmtId="62" fontId="14" fillId="3" borderId="34" applyNumberFormat="1" applyFont="1" applyFill="1" applyBorder="1" applyAlignment="1" applyProtection="1">
      <alignment horizontal="right" vertical="bottom"/>
      <protection locked="1" hidden="0"/>
    </xf>
    <xf numFmtId="62" fontId="14" fillId="3" borderId="35" applyNumberFormat="1" applyFont="1" applyFill="1" applyBorder="1" applyAlignment="1" applyProtection="1">
      <alignment horizontal="right" vertical="bottom"/>
      <protection locked="1" hidden="0"/>
    </xf>
    <xf numFmtId="1" fontId="15" fillId="3" borderId="34" applyNumberFormat="1" applyFont="1" applyFill="1" applyBorder="1" applyAlignment="1" applyProtection="1">
      <alignment horizontal="right" vertical="bottom"/>
      <protection locked="1" hidden="0"/>
    </xf>
    <xf numFmtId="62" fontId="14" fillId="3" borderId="23" applyNumberFormat="1" applyFont="1" applyFill="1" applyBorder="1" applyAlignment="1" applyProtection="1">
      <alignment vertical="bottom"/>
      <protection locked="1" hidden="0"/>
    </xf>
    <xf numFmtId="0" fontId="24" fillId="5" borderId="16" applyNumberFormat="0" applyFont="1" applyFill="1" applyBorder="1" applyAlignment="1" applyProtection="1">
      <alignment vertical="bottom"/>
      <protection locked="1" hidden="0"/>
    </xf>
    <xf numFmtId="49" fontId="19" fillId="7" borderId="17" applyNumberFormat="1" applyFont="1" applyFill="1" applyBorder="1" applyAlignment="1" applyProtection="1">
      <alignment horizontal="center" vertical="center"/>
      <protection locked="1" hidden="0"/>
    </xf>
    <xf numFmtId="59" fontId="14" fillId="3" borderId="28" applyNumberFormat="1" applyFont="1" applyFill="1" applyBorder="1" applyAlignment="1" applyProtection="1">
      <alignment vertical="bottom"/>
      <protection locked="1" hidden="0"/>
    </xf>
    <xf numFmtId="62" fontId="14" fillId="3" borderId="17" applyNumberFormat="1" applyFont="1" applyFill="1" applyBorder="1" applyAlignment="1" applyProtection="1">
      <alignment vertical="bottom"/>
      <protection locked="1" hidden="0"/>
    </xf>
    <xf numFmtId="59" fontId="14" fillId="3" borderId="39" applyNumberFormat="1" applyFont="1" applyFill="1" applyBorder="1" applyAlignment="1" applyProtection="1">
      <alignment vertical="bottom"/>
      <protection locked="1" hidden="0"/>
    </xf>
    <xf numFmtId="49" fontId="24" fillId="3" borderId="28" applyNumberFormat="1" applyFont="1" applyFill="1" applyBorder="1" applyAlignment="1" applyProtection="1">
      <alignment vertical="bottom"/>
      <protection locked="1" hidden="0"/>
    </xf>
    <xf numFmtId="49" fontId="24" fillId="3" borderId="16" applyNumberFormat="1" applyFont="1" applyFill="1" applyBorder="1" applyAlignment="1" applyProtection="1">
      <alignment vertical="bottom" wrapText="1"/>
      <protection locked="1" hidden="0"/>
    </xf>
    <xf numFmtId="67" fontId="14" fillId="3" borderId="17" applyNumberFormat="1" applyFont="1" applyFill="1" applyBorder="1" applyAlignment="1" applyProtection="1">
      <alignment vertical="bottom"/>
      <protection locked="1" hidden="0"/>
    </xf>
    <xf numFmtId="61" fontId="14" fillId="3" borderId="17" applyNumberFormat="1" applyFont="1" applyFill="1" applyBorder="1" applyAlignment="1" applyProtection="1">
      <alignment vertical="bottom"/>
      <protection locked="1" hidden="0"/>
    </xf>
    <xf numFmtId="62" fontId="27" fillId="3" borderId="16" applyNumberFormat="1" applyFont="1" applyFill="1" applyBorder="1" applyAlignment="1" applyProtection="1">
      <alignment vertical="bottom"/>
      <protection locked="1" hidden="0"/>
    </xf>
    <xf numFmtId="62" fontId="28" fillId="3" borderId="16" applyNumberFormat="1" applyFont="1" applyFill="1" applyBorder="1" applyAlignment="1" applyProtection="1">
      <alignment vertical="bottom"/>
      <protection locked="1" hidden="0"/>
    </xf>
    <xf numFmtId="60" fontId="27" fillId="3" borderId="16" applyNumberFormat="1" applyFont="1" applyFill="1" applyBorder="1" applyAlignment="1" applyProtection="1">
      <alignment vertical="bottom"/>
      <protection locked="1" hidden="0"/>
    </xf>
    <xf numFmtId="61" fontId="27" fillId="3" borderId="16" applyNumberFormat="1" applyFont="1" applyFill="1" applyBorder="1" applyAlignment="1" applyProtection="1">
      <alignment vertical="bottom"/>
      <protection locked="1" hidden="0"/>
    </xf>
    <xf numFmtId="61" fontId="14" fillId="3" borderId="16" applyNumberFormat="1" applyFont="1" applyFill="1" applyBorder="1" applyAlignment="1" applyProtection="1">
      <alignment vertical="bottom"/>
      <protection locked="1" hidden="0"/>
    </xf>
    <xf numFmtId="61" fontId="14" fillId="3" borderId="23" applyNumberFormat="1" applyFont="1" applyFill="1" applyBorder="1" applyAlignment="1" applyProtection="1">
      <alignment vertical="bottom"/>
      <protection locked="1" hidden="0"/>
    </xf>
    <xf numFmtId="61" fontId="24" fillId="3" borderId="24" applyNumberFormat="1" applyFont="1" applyFill="1" applyBorder="1" applyAlignment="1" applyProtection="1">
      <alignment vertical="bottom"/>
      <protection locked="1" hidden="0"/>
    </xf>
    <xf numFmtId="0" fontId="0" fillId="3" borderId="26" applyNumberFormat="0" applyFont="1" applyFill="1" applyBorder="1" applyAlignment="1" applyProtection="1">
      <alignment vertical="bottom"/>
      <protection locked="1" hidden="0"/>
    </xf>
    <xf numFmtId="0" fontId="0" fillId="3" borderId="27" applyNumberFormat="0" applyFont="1" applyFill="1" applyBorder="1" applyAlignment="1" applyProtection="1">
      <alignment vertical="bottom"/>
      <protection locked="1" hidden="0"/>
    </xf>
    <xf numFmtId="49" fontId="20" fillId="3" borderId="39" applyNumberFormat="1" applyFont="1" applyFill="1" applyBorder="1" applyAlignment="1" applyProtection="1">
      <alignment vertical="bottom"/>
      <protection locked="1" hidden="0"/>
    </xf>
    <xf numFmtId="49" fontId="14" fillId="3" borderId="23" applyNumberFormat="1" applyFont="1" applyFill="1" applyBorder="1" applyAlignment="1" applyProtection="1">
      <alignment vertical="top" wrapText="1"/>
      <protection locked="1" hidden="0"/>
    </xf>
  </cellXfs>
  <cellStyles count="1">
    <cellStyle name="Normal" xfId="0" builtinId="0"/>
  </cellStyles>
  <dxfs count="7">
    <dxf>
      <font>
        <color rgb="ffff0000"/>
      </font>
    </dxf>
    <dxf>
      <font>
        <color rgb="ffff0000"/>
      </font>
    </dxf>
    <dxf>
      <font>
        <color rgb="ffff0000"/>
      </font>
    </dxf>
    <dxf>
      <font>
        <color rgb="ffff0000"/>
      </font>
    </dxf>
    <dxf>
      <font>
        <color rgb="ffff0000"/>
      </font>
    </dxf>
    <dxf>
      <font>
        <color rgb="ffff0000"/>
      </font>
    </dxf>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17365d"/>
      <rgbColor rgb="ffaaaaaa"/>
      <rgbColor rgb="ffa6a6a6"/>
      <rgbColor rgb="ffdce6f1"/>
      <rgbColor rgb="ffd9d9d9"/>
      <rgbColor rgb="ff1f1f1f"/>
      <rgbColor rgb="ff666666"/>
      <rgbColor rgb="ffd9eaf7"/>
      <rgbColor rgb="ffff0000"/>
      <rgbColor rgb="ffbfbfbf"/>
      <rgbColor rgb="ffd9ead3"/>
      <rgbColor rgb="ff1f4e78"/>
      <rgbColor rgb="ff878787"/>
      <rgbColor rgb="fff9f9f9"/>
      <rgbColor rgb="ff4a7ebb"/>
      <rgbColor rgb="ff0000ff"/>
      <rgbColor rgb="fffff2cc"/>
      <rgbColor rgb="ffcf3a1f"/>
      <rgbColor rgb="ffe2f0d9"/>
      <rgbColor rgb="ffddebf7"/>
      <rgbColor rgb="fff2f2f2"/>
      <rgbColor rgb="ff275ef3"/>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heetMetadata" Target="metadata.xml"/><Relationship Id="rId3" Type="http://schemas.openxmlformats.org/officeDocument/2006/relationships/styles" Target="styles.xml"/><Relationship Id="rId4" Type="http://schemas.openxmlformats.org/officeDocument/2006/relationships/theme" Target="theme/theme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9" Type="http://schemas.openxmlformats.org/officeDocument/2006/relationships/worksheet" Target="worksheets/sheet5.xml"/><Relationship Id="rId10" Type="http://schemas.openxmlformats.org/officeDocument/2006/relationships/worksheet" Target="worksheets/sheet6.xml"/><Relationship Id="rId11" Type="http://schemas.openxmlformats.org/officeDocument/2006/relationships/worksheet" Target="worksheets/sheet7.xml"/><Relationship Id="rId12" Type="http://schemas.openxmlformats.org/officeDocument/2006/relationships/worksheet" Target="worksheets/sheet8.xml"/><Relationship Id="rId13"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278028"/>
          <c:y val="0.050797"/>
          <c:w val="0.645889"/>
          <c:h val="0.869433"/>
        </c:manualLayout>
      </c:layout>
      <c:barChart>
        <c:barDir val="bar"/>
        <c:grouping val="clustered"/>
        <c:varyColors val="0"/>
        <c:ser>
          <c:idx val="0"/>
          <c:order val="0"/>
          <c:tx>
            <c:v>Series3</c:v>
          </c:tx>
          <c:spPr>
            <a:solidFill>
              <a:schemeClr val="accent3"/>
            </a:solidFill>
            <a:ln w="12700" cap="flat">
              <a:solidFill>
                <a:srgbClr val="F9F9F9"/>
              </a:solidFill>
              <a:prstDash val="solid"/>
              <a:round/>
            </a:ln>
            <a:effectLst/>
          </c:spPr>
          <c:invertIfNegative val="0"/>
          <c:dLbls>
            <c:numFmt formatCode="#,##0" sourceLinked="1"/>
            <c:txPr>
              <a:bodyPr/>
              <a:lstStyle/>
              <a:p>
                <a:pPr>
                  <a:defRPr b="0" i="0" strike="noStrike" sz="1000" u="none">
                    <a:solidFill>
                      <a:srgbClr val="000000"/>
                    </a:solidFill>
                    <a:latin typeface="Calibri"/>
                  </a:defRPr>
                </a:pPr>
              </a:p>
            </c:txPr>
            <c:dLblPos val="outEnd"/>
            <c:showLegendKey val="0"/>
            <c:showVal val="1"/>
            <c:showCatName val="0"/>
            <c:showSerName val="0"/>
            <c:showPercent val="0"/>
            <c:showBubbleSize val="0"/>
            <c:showLeaderLines val="0"/>
          </c:dLbls>
          <c:cat>
            <c:strRef>
              <c:f>'Scenario Model'!$A$26:$A$28</c:f>
              <c:strCache>
                <c:ptCount val="3"/>
                <c:pt idx="0">
                  <c:v>Propane</c:v>
                </c:pt>
                <c:pt idx="1">
                  <c:v>Natural Gas</c:v>
                </c:pt>
                <c:pt idx="2">
                  <c:v>All-Electric</c:v>
                </c:pt>
              </c:strCache>
            </c:strRef>
          </c:cat>
          <c:val>
            <c:numRef>
              <c:f>'Scenario Model'!$D$26:$D$28</c:f>
              <c:numCache>
                <c:ptCount val="3"/>
                <c:pt idx="0">
                  <c:v>50915</c:v>
                </c:pt>
                <c:pt idx="1">
                  <c:v>50054</c:v>
                </c:pt>
                <c:pt idx="2">
                  <c:v>48779.3</c:v>
                </c:pt>
              </c:numCache>
            </c:numRef>
          </c:val>
        </c:ser>
        <c:ser>
          <c:idx val="1"/>
          <c:order val="1"/>
          <c:tx>
            <c:v>Series2</c:v>
          </c:tx>
          <c:spPr>
            <a:solidFill>
              <a:schemeClr val="accent2"/>
            </a:solidFill>
            <a:ln w="12700" cap="flat">
              <a:solidFill>
                <a:srgbClr val="F9F9F9"/>
              </a:solidFill>
              <a:prstDash val="solid"/>
              <a:round/>
            </a:ln>
            <a:effectLst/>
          </c:spPr>
          <c:invertIfNegative val="0"/>
          <c:dLbls>
            <c:numFmt formatCode="#,##0" sourceLinked="1"/>
            <c:txPr>
              <a:bodyPr/>
              <a:lstStyle/>
              <a:p>
                <a:pPr>
                  <a:defRPr b="0" i="0" strike="noStrike" sz="1000" u="none">
                    <a:solidFill>
                      <a:srgbClr val="000000"/>
                    </a:solidFill>
                    <a:latin typeface="Calibri"/>
                  </a:defRPr>
                </a:pPr>
              </a:p>
            </c:txPr>
            <c:dLblPos val="outEnd"/>
            <c:showLegendKey val="0"/>
            <c:showVal val="1"/>
            <c:showCatName val="0"/>
            <c:showSerName val="0"/>
            <c:showPercent val="0"/>
            <c:showBubbleSize val="0"/>
            <c:showLeaderLines val="0"/>
          </c:dLbls>
          <c:cat>
            <c:strRef>
              <c:f>'Scenario Model'!$A$26:$A$28</c:f>
              <c:strCache>
                <c:ptCount val="3"/>
                <c:pt idx="0">
                  <c:v>Propane</c:v>
                </c:pt>
                <c:pt idx="1">
                  <c:v>Natural Gas</c:v>
                </c:pt>
                <c:pt idx="2">
                  <c:v>All-Electric</c:v>
                </c:pt>
              </c:strCache>
            </c:strRef>
          </c:cat>
          <c:val>
            <c:numRef>
              <c:f>'Scenario Model'!$C$26:$C$28</c:f>
              <c:numCache>
                <c:ptCount val="3"/>
                <c:pt idx="0">
                  <c:v>47399</c:v>
                </c:pt>
                <c:pt idx="1">
                  <c:v>46716.5</c:v>
                </c:pt>
                <c:pt idx="2">
                  <c:v>46079.15</c:v>
                </c:pt>
              </c:numCache>
            </c:numRef>
          </c:val>
        </c:ser>
        <c:ser>
          <c:idx val="2"/>
          <c:order val="2"/>
          <c:tx>
            <c:v>Series1</c:v>
          </c:tx>
          <c:spPr>
            <a:solidFill>
              <a:schemeClr val="accent1"/>
            </a:solidFill>
            <a:ln w="12700" cap="flat">
              <a:solidFill>
                <a:srgbClr val="F9F9F9"/>
              </a:solidFill>
              <a:prstDash val="solid"/>
              <a:round/>
            </a:ln>
            <a:effectLst/>
          </c:spPr>
          <c:invertIfNegative val="0"/>
          <c:dLbls>
            <c:numFmt formatCode="#,##0" sourceLinked="1"/>
            <c:txPr>
              <a:bodyPr/>
              <a:lstStyle/>
              <a:p>
                <a:pPr>
                  <a:defRPr b="0" i="0" strike="noStrike" sz="1000" u="none">
                    <a:solidFill>
                      <a:srgbClr val="000000"/>
                    </a:solidFill>
                    <a:latin typeface="Calibri"/>
                  </a:defRPr>
                </a:pPr>
              </a:p>
            </c:txPr>
            <c:dLblPos val="outEnd"/>
            <c:showLegendKey val="0"/>
            <c:showVal val="1"/>
            <c:showCatName val="0"/>
            <c:showSerName val="0"/>
            <c:showPercent val="0"/>
            <c:showBubbleSize val="0"/>
            <c:showLeaderLines val="0"/>
          </c:dLbls>
          <c:cat>
            <c:strRef>
              <c:f>'Scenario Model'!$A$26:$A$28</c:f>
              <c:strCache>
                <c:ptCount val="3"/>
                <c:pt idx="0">
                  <c:v>Propane</c:v>
                </c:pt>
                <c:pt idx="1">
                  <c:v>Natural Gas</c:v>
                </c:pt>
                <c:pt idx="2">
                  <c:v>All-Electric</c:v>
                </c:pt>
              </c:strCache>
            </c:strRef>
          </c:cat>
          <c:val>
            <c:numRef>
              <c:f>'Scenario Model'!$B$26:$B$28</c:f>
              <c:numCache>
                <c:ptCount val="3"/>
                <c:pt idx="0">
                  <c:v>44109.2</c:v>
                </c:pt>
                <c:pt idx="1">
                  <c:v>43664</c:v>
                </c:pt>
                <c:pt idx="2">
                  <c:v>43589</c:v>
                </c:pt>
              </c:numCache>
            </c:numRef>
          </c:val>
        </c:ser>
        <c:gapWidth val="150"/>
        <c:overlap val="0"/>
        <c:axId val="2094734552"/>
        <c:axId val="2094734553"/>
      </c:barChart>
      <c:catAx>
        <c:axId val="2094734552"/>
        <c:scaling>
          <c:orientation val="maxMin"/>
        </c:scaling>
        <c:delete val="0"/>
        <c:axPos val="l"/>
        <c:numFmt formatCode="General" sourceLinked="1"/>
        <c:majorTickMark val="out"/>
        <c:minorTickMark val="none"/>
        <c:tickLblPos val="nextTo"/>
        <c:spPr>
          <a:ln w="12700" cap="flat">
            <a:solidFill>
              <a:srgbClr val="878787"/>
            </a:solidFill>
            <a:prstDash val="solid"/>
            <a:round/>
          </a:ln>
        </c:spPr>
        <c:txPr>
          <a:bodyPr rot="0"/>
          <a:lstStyle/>
          <a:p>
            <a:pPr>
              <a:defRPr b="0" i="0" strike="noStrike" sz="1800" u="none">
                <a:solidFill>
                  <a:srgbClr val="000000"/>
                </a:solidFill>
                <a:latin typeface="Cambria"/>
              </a:defRPr>
            </a:pPr>
          </a:p>
        </c:txPr>
        <c:crossAx val="2094734553"/>
        <c:crosses val="autoZero"/>
        <c:auto val="1"/>
        <c:lblAlgn val="ctr"/>
        <c:noMultiLvlLbl val="1"/>
      </c:catAx>
      <c:valAx>
        <c:axId val="2094734553"/>
        <c:scaling>
          <c:orientation val="minMax"/>
        </c:scaling>
        <c:delete val="0"/>
        <c:axPos val="b"/>
        <c:majorGridlines>
          <c:spPr>
            <a:ln w="12700" cap="flat">
              <a:solidFill>
                <a:srgbClr val="878787"/>
              </a:solidFill>
              <a:prstDash val="solid"/>
              <a:round/>
            </a:ln>
          </c:spPr>
        </c:majorGridlines>
        <c:numFmt formatCode="General" sourceLinked="1"/>
        <c:majorTickMark val="none"/>
        <c:minorTickMark val="none"/>
        <c:tickLblPos val="high"/>
        <c:spPr>
          <a:ln w="12700" cap="flat">
            <a:solidFill>
              <a:srgbClr val="878787"/>
            </a:solidFill>
            <a:prstDash val="solid"/>
            <a:round/>
          </a:ln>
        </c:spPr>
        <c:txPr>
          <a:bodyPr rot="0"/>
          <a:lstStyle/>
          <a:p>
            <a:pPr>
              <a:defRPr b="0" i="0" strike="noStrike" sz="1000" u="none">
                <a:solidFill>
                  <a:srgbClr val="000000"/>
                </a:solidFill>
                <a:latin typeface="Calibri"/>
              </a:defRPr>
            </a:pPr>
          </a:p>
        </c:txPr>
        <c:crossAx val="2094734552"/>
        <c:crosses val="autoZero"/>
        <c:crossBetween val="between"/>
        <c:majorUnit val="3500"/>
        <c:minorUnit val="1750"/>
      </c:valAx>
      <c:spPr>
        <a:solidFill>
          <a:srgbClr val="FFFFFF"/>
        </a:solidFill>
        <a:ln w="12700" cap="flat">
          <a:noFill/>
          <a:miter lim="400000"/>
        </a:ln>
        <a:effectLst/>
      </c:spPr>
    </c:plotArea>
    <c:legend>
      <c:legendPos val="l"/>
      <c:layout>
        <c:manualLayout>
          <c:xMode val="edge"/>
          <c:yMode val="edge"/>
          <c:x val="0"/>
          <c:y val="0"/>
          <c:w val="0.123913"/>
          <c:h val="0.177391"/>
        </c:manualLayout>
      </c:layout>
      <c:overlay val="1"/>
      <c:spPr>
        <a:noFill/>
        <a:ln w="12700" cap="flat">
          <a:noFill/>
          <a:miter lim="400000"/>
        </a:ln>
        <a:effectLst/>
      </c:spPr>
      <c:txPr>
        <a:bodyPr rot="0"/>
        <a:lstStyle/>
        <a:p>
          <a:pPr>
            <a:defRPr b="0" i="0" strike="noStrike" sz="1000" u="none">
              <a:solidFill>
                <a:srgbClr val="000000"/>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charts/chart2.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485479"/>
          <c:y val="0.0924597"/>
          <c:w val="0.497029"/>
          <c:h val="0.772597"/>
        </c:manualLayout>
      </c:layout>
      <c:lineChart>
        <c:grouping val="standard"/>
        <c:varyColors val="0"/>
        <c:ser>
          <c:idx val="0"/>
          <c:order val="0"/>
          <c:tx>
            <c:v>Series1</c:v>
          </c:tx>
          <c:spPr>
            <a:noFill/>
            <a:ln w="38100" cap="flat">
              <a:solidFill>
                <a:srgbClr val="4A7EBB"/>
              </a:solidFill>
              <a:prstDash val="solid"/>
              <a:round/>
            </a:ln>
            <a:effectLst/>
          </c:spPr>
          <c:marker>
            <c:symbol val="none"/>
            <c:size val="2"/>
            <c:spPr>
              <a:noFill/>
              <a:ln w="38100" cap="flat">
                <a:solidFill>
                  <a:srgbClr val="4A7EBB"/>
                </a:solidFill>
                <a:prstDash val="solid"/>
                <a:round/>
              </a:ln>
              <a:effectLst/>
            </c:spPr>
          </c:marker>
          <c:dLbls>
            <c:numFmt formatCode="#,##0" sourceLinked="1"/>
            <c:txPr>
              <a:bodyPr/>
              <a:lstStyle/>
              <a:p>
                <a:pPr>
                  <a:defRPr b="0" i="0" strike="noStrike" sz="1000" u="none">
                    <a:solidFill>
                      <a:srgbClr val="000000"/>
                    </a:solidFill>
                    <a:latin typeface="Cambria"/>
                  </a:defRPr>
                </a:pPr>
              </a:p>
            </c:txPr>
            <c:dLblPos val="t"/>
            <c:showLegendKey val="0"/>
            <c:showVal val="0"/>
            <c:showCatName val="0"/>
            <c:showSerName val="0"/>
            <c:showPercent val="0"/>
            <c:showBubbleSize val="0"/>
            <c:showLeaderLines val="0"/>
          </c:dLbls>
          <c:cat>
            <c:strRef>
              <c:f>'5-Year Projection'!$A$6:$A$10</c:f>
              <c:strCache>
                <c:ptCount val="5"/>
                <c:pt idx="0">
                  <c:v>1 </c:v>
                </c:pt>
                <c:pt idx="1">
                  <c:v>2 </c:v>
                </c:pt>
                <c:pt idx="2">
                  <c:v>3 </c:v>
                </c:pt>
                <c:pt idx="3">
                  <c:v>4 </c:v>
                </c:pt>
                <c:pt idx="4">
                  <c:v>5 </c:v>
                </c:pt>
              </c:strCache>
            </c:strRef>
          </c:cat>
          <c:val>
            <c:numRef>
              <c:f>'5-Year Projection'!$G$6:$G$10</c:f>
              <c:numCache>
                <c:ptCount val="5"/>
                <c:pt idx="0">
                  <c:v>529310.4</c:v>
                </c:pt>
                <c:pt idx="1">
                  <c:v>545189.7119999999</c:v>
                </c:pt>
                <c:pt idx="2">
                  <c:v>561545.40336</c:v>
                </c:pt>
                <c:pt idx="3">
                  <c:v>578391.7654607999</c:v>
                </c:pt>
                <c:pt idx="4">
                  <c:v>595743.518424624</c:v>
                </c:pt>
              </c:numCache>
            </c:numRef>
          </c:val>
          <c:smooth val="1"/>
        </c:ser>
        <c:marker val="1"/>
        <c:axId val="2094734552"/>
        <c:axId val="2094734553"/>
      </c:lineChart>
      <c:catAx>
        <c:axId val="2094734552"/>
        <c:scaling>
          <c:orientation val="minMax"/>
        </c:scaling>
        <c:delete val="0"/>
        <c:axPos val="b"/>
        <c:numFmt formatCode="General" sourceLinked="1"/>
        <c:majorTickMark val="none"/>
        <c:minorTickMark val="none"/>
        <c:tickLblPos val="low"/>
        <c:spPr>
          <a:ln w="12700" cap="flat">
            <a:solidFill>
              <a:srgbClr val="878787"/>
            </a:solidFill>
            <a:prstDash val="solid"/>
            <a:round/>
          </a:ln>
        </c:spPr>
        <c:txPr>
          <a:bodyPr rot="0"/>
          <a:lstStyle/>
          <a:p>
            <a:pPr>
              <a:defRPr b="0" i="0" strike="noStrike" sz="1000" u="none">
                <a:solidFill>
                  <a:srgbClr val="000000"/>
                </a:solidFill>
                <a:latin typeface="Calibri"/>
              </a:defRPr>
            </a:pPr>
          </a:p>
        </c:txPr>
        <c:crossAx val="2094734553"/>
        <c:crosses val="autoZero"/>
        <c:auto val="1"/>
        <c:lblAlgn val="ctr"/>
        <c:noMultiLvlLbl val="1"/>
      </c:catAx>
      <c:valAx>
        <c:axId val="2094734553"/>
        <c:scaling>
          <c:orientation val="minMax"/>
        </c:scaling>
        <c:delete val="0"/>
        <c:axPos val="l"/>
        <c:majorGridlines>
          <c:spPr>
            <a:ln w="12700" cap="flat">
              <a:solidFill>
                <a:srgbClr val="878787"/>
              </a:solidFill>
              <a:prstDash val="solid"/>
              <a:round/>
            </a:ln>
          </c:spPr>
        </c:majorGridlines>
        <c:numFmt formatCode="General" sourceLinked="1"/>
        <c:majorTickMark val="none"/>
        <c:minorTickMark val="none"/>
        <c:tickLblPos val="nextTo"/>
        <c:spPr>
          <a:ln w="12700" cap="flat">
            <a:solidFill>
              <a:srgbClr val="878787"/>
            </a:solidFill>
            <a:prstDash val="solid"/>
            <a:round/>
          </a:ln>
        </c:spPr>
        <c:txPr>
          <a:bodyPr rot="0"/>
          <a:lstStyle/>
          <a:p>
            <a:pPr>
              <a:defRPr b="0" i="0" strike="noStrike" sz="1000" u="none">
                <a:solidFill>
                  <a:srgbClr val="000000"/>
                </a:solidFill>
                <a:latin typeface="Calibri"/>
              </a:defRPr>
            </a:pPr>
          </a:p>
        </c:txPr>
        <c:crossAx val="2094734552"/>
        <c:crosses val="autoZero"/>
        <c:crossBetween val="midCat"/>
        <c:majorUnit val="20000"/>
        <c:minorUnit val="10000"/>
      </c:valAx>
      <c:spPr>
        <a:solidFill>
          <a:srgbClr val="FFFFFF"/>
        </a:solidFill>
        <a:ln w="12700" cap="flat">
          <a:noFill/>
          <a:miter lim="400000"/>
        </a:ln>
        <a:effectLst/>
      </c:spPr>
    </c:plotArea>
    <c:legend>
      <c:legendPos val="t"/>
      <c:layout>
        <c:manualLayout>
          <c:xMode val="edge"/>
          <c:yMode val="edge"/>
          <c:x val="0"/>
          <c:y val="0"/>
          <c:w val="0.502104"/>
          <c:h val="0.11746"/>
        </c:manualLayout>
      </c:layout>
      <c:overlay val="1"/>
      <c:spPr>
        <a:noFill/>
        <a:ln w="12700" cap="flat">
          <a:noFill/>
          <a:miter lim="400000"/>
        </a:ln>
        <a:effectLst/>
      </c:spPr>
      <c:txPr>
        <a:bodyPr rot="0"/>
        <a:lstStyle/>
        <a:p>
          <a:pPr>
            <a:defRPr b="0" i="0" strike="noStrike" sz="1000" u="none">
              <a:solidFill>
                <a:srgbClr val="000000"/>
              </a:solidFill>
              <a:latin typeface="Calibri"/>
            </a:defRPr>
          </a:pPr>
        </a:p>
      </c:txPr>
    </c:legend>
    <c:plotVisOnly val="1"/>
    <c:dispBlanksAs val="gap"/>
  </c:chart>
  <c:spPr>
    <a:solidFill>
      <a:srgbClr val="FFFFFF"/>
    </a:solidFill>
    <a:ln w="12700" cap="flat">
      <a:solidFill>
        <a:srgbClr val="D9D9D9"/>
      </a:solidFill>
      <a:prstDash val="solid"/>
      <a:round/>
    </a:ln>
    <a:effectLst/>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4</xdr:col>
      <xdr:colOff>27004</xdr:colOff>
      <xdr:row>14</xdr:row>
      <xdr:rowOff>105136</xdr:rowOff>
    </xdr:from>
    <xdr:to>
      <xdr:col>7</xdr:col>
      <xdr:colOff>696557</xdr:colOff>
      <xdr:row>28</xdr:row>
      <xdr:rowOff>136541</xdr:rowOff>
    </xdr:to>
    <xdr:graphicFrame>
      <xdr:nvGraphicFramePr>
        <xdr:cNvPr id="2" name="2D Bar Chart"/>
        <xdr:cNvGraphicFramePr/>
      </xdr:nvGraphicFramePr>
      <xdr:xfrm>
        <a:off x="6173804" y="2876911"/>
        <a:ext cx="5432054" cy="2698406"/>
      </xdr:xfrm>
      <a:graphic xmlns:a="http://schemas.openxmlformats.org/drawingml/2006/main">
        <a:graphicData uri="http://schemas.openxmlformats.org/drawingml/2006/chart">
          <c:chart xmlns:c="http://schemas.openxmlformats.org/drawingml/2006/chart" r:id="rId1"/>
        </a:graphicData>
      </a:graphic>
    </xdr:graphicFrame>
    <xdr:clientData/>
  </xdr:twoCellAnchor>
  <xdr:twoCellAnchor>
    <xdr:from>
      <xdr:col>1</xdr:col>
      <xdr:colOff>1223524</xdr:colOff>
      <xdr:row>21</xdr:row>
      <xdr:rowOff>170781</xdr:rowOff>
    </xdr:from>
    <xdr:to>
      <xdr:col>3</xdr:col>
      <xdr:colOff>1173683</xdr:colOff>
      <xdr:row>29</xdr:row>
      <xdr:rowOff>129273</xdr:rowOff>
    </xdr:to>
    <xdr:graphicFrame>
      <xdr:nvGraphicFramePr>
        <xdr:cNvPr id="3" name="2D Line Chart"/>
        <xdr:cNvGraphicFramePr/>
      </xdr:nvGraphicFramePr>
      <xdr:xfrm>
        <a:off x="2912624" y="4276056"/>
        <a:ext cx="3023560" cy="1482493"/>
      </xdr:xfrm>
      <a:graphic xmlns:a="http://schemas.openxmlformats.org/drawingml/2006/main">
        <a:graphicData uri="http://schemas.openxmlformats.org/drawingml/2006/chart">
          <c:chart xmlns:c="http://schemas.openxmlformats.org/drawingml/2006/chart" r:id="rId2"/>
        </a:graphicData>
      </a:graphic>
    </xdr:graphicFrame>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dimension ref="A1:H82"/>
  <sheetViews>
    <sheetView workbookViewId="0" showGridLines="0" defaultGridColor="1"/>
  </sheetViews>
  <sheetFormatPr defaultColWidth="8.83333" defaultRowHeight="15" customHeight="1" outlineLevelRow="0" outlineLevelCol="0"/>
  <cols>
    <col min="1" max="1" width="29" style="1" customWidth="1"/>
    <col min="2" max="2" width="105" style="1" customWidth="1"/>
    <col min="3" max="8" width="3" style="1" customWidth="1"/>
    <col min="9" max="16384" width="8.85156" style="1" customWidth="1"/>
  </cols>
  <sheetData>
    <row r="1" ht="30" customHeight="1">
      <c r="A1" s="171" t="str">
        <v>Claude Firth Veteran Village — v1.7 Planning Baseline Instructions</v>
      </c>
      <c r="B1" s="174"/>
      <c r="C1" s="174"/>
      <c r="D1" s="174"/>
      <c r="E1" s="174"/>
      <c r="F1" s="174"/>
      <c r="G1" s="174"/>
      <c r="H1" s="175"/>
    </row>
    <row r="2" ht="13.65" customHeight="1">
      <c r="A2" s="176"/>
      <c r="B2" s="177"/>
      <c r="C2" s="177"/>
      <c r="D2" s="177"/>
      <c r="E2" s="177"/>
      <c r="F2" s="177"/>
      <c r="G2" s="177"/>
      <c r="H2" s="178"/>
    </row>
    <row r="3" ht="13.65" customHeight="1">
      <c r="A3" t="s" s="179">
        <v>1</v>
      </c>
      <c r="B3" s="180"/>
      <c r="C3" s="181"/>
      <c r="D3" s="181"/>
      <c r="E3" s="181"/>
      <c r="F3" s="181"/>
      <c r="G3" s="181"/>
      <c r="H3" s="182"/>
    </row>
    <row r="4" ht="29" customHeight="1">
      <c r="A4" s="172" t="str">
        <v>Workbook purpose</v>
      </c>
      <c r="B4" s="173" t="str">
        <v>One controlling planning workbook for capital, payroll, operating expense, resident payments and the remaining operating funding need.</v>
      </c>
      <c r="C4" s="183"/>
      <c r="D4" s="184"/>
      <c r="E4" s="184"/>
      <c r="F4" s="184"/>
      <c r="G4" s="184"/>
      <c r="H4" s="185"/>
    </row>
    <row r="5" ht="29" customHeight="1">
      <c r="A5" s="172" t="str">
        <v>Version control</v>
      </c>
      <c r="B5" s="173" t="str">
        <v>v1.7 updates the v1.6 solar/microgrid allowance by Founder approval. Retain prior versions as archives; use this version for subsequent approved updates.</v>
      </c>
      <c r="C5" s="186"/>
      <c r="D5" s="187"/>
      <c r="E5" s="187"/>
      <c r="F5" s="187"/>
      <c r="G5" s="187"/>
      <c r="H5" s="188"/>
    </row>
    <row r="6" ht="29" customHeight="1">
      <c r="A6" s="172" t="str">
        <v>Planning status</v>
      </c>
      <c r="B6" s="173" t="str">
        <v>Figures are approved planning assumptions, not final quotations. Calculation PASS is separate from professional validation and unresolved capital scope.</v>
      </c>
      <c r="C6" s="186"/>
      <c r="D6" s="187"/>
      <c r="E6" s="187"/>
      <c r="F6" s="187"/>
      <c r="G6" s="187"/>
      <c r="H6" s="188"/>
    </row>
    <row r="7" ht="29" customHeight="1">
      <c r="A7" s="172" t="str">
        <v>Primary rule</v>
      </c>
      <c r="B7" s="173" t="str">
        <v>Enter accepted financial changes only on Assumptions. Other sheets are linked outputs; never replace their formulas with typed totals.</v>
      </c>
      <c r="C7" s="186"/>
      <c r="D7" s="187"/>
      <c r="E7" s="187"/>
      <c r="F7" s="187"/>
      <c r="G7" s="187"/>
      <c r="H7" s="188"/>
    </row>
    <row r="8" ht="29" customHeight="1">
      <c r="A8" s="172" t="str">
        <v>Initial capitalization</v>
      </c>
      <c r="B8" s="173" t="str">
        <v>At delivery: $21.30 million development plus $1.00 million operating reserve = $22.30 million. Future approved inputs update these totals automatically.</v>
      </c>
      <c r="C8" s="186"/>
      <c r="D8" s="187"/>
      <c r="E8" s="187"/>
      <c r="F8" s="187"/>
      <c r="G8" s="187"/>
      <c r="H8" s="188"/>
    </row>
    <row r="9" ht="13.65" customHeight="1">
      <c r="A9" s="189"/>
      <c r="B9" s="190"/>
      <c r="C9" s="191"/>
      <c r="D9" s="191"/>
      <c r="E9" s="191"/>
      <c r="F9" s="191"/>
      <c r="G9" s="191"/>
      <c r="H9" s="192"/>
    </row>
    <row r="10" ht="13.65" customHeight="1">
      <c r="A10" t="s" s="179">
        <v>12</v>
      </c>
      <c r="B10" s="180"/>
      <c r="C10" s="181"/>
      <c r="D10" s="181"/>
      <c r="E10" s="181"/>
      <c r="F10" s="181"/>
      <c r="G10" s="181"/>
      <c r="H10" s="182"/>
    </row>
    <row r="11" ht="29" customHeight="1">
      <c r="A11" s="172" t="str">
        <v>Dashboard</v>
      </c>
      <c r="B11" s="173" t="str">
        <v>Live operating totals, occupancy, capitalization, scenario comparisons, charts, resident revenue and calculation status.</v>
      </c>
      <c r="C11" s="183"/>
      <c r="D11" s="184"/>
      <c r="E11" s="184"/>
      <c r="F11" s="184"/>
      <c r="G11" s="184"/>
      <c r="H11" s="185"/>
    </row>
    <row r="12" ht="29" customHeight="1">
      <c r="A12" s="172" t="str">
        <v>Assumptions</v>
      </c>
      <c r="B12" s="173" t="str">
        <v>The only editable financial input sheet: original controls plus payment/reserve, staffing, capital and source/acceptance information.</v>
      </c>
      <c r="C12" s="186"/>
      <c r="D12" s="187"/>
      <c r="E12" s="187"/>
      <c r="F12" s="187"/>
      <c r="G12" s="187"/>
      <c r="H12" s="188"/>
    </row>
    <row r="13" ht="29" customHeight="1">
      <c r="A13" s="172" t="str">
        <v>Input locations</v>
      </c>
      <c r="B13" s="173" t="str">
        <v>Operating controls B4:B12; scenario drivers C16:E28; payroll burden B29. These original coordinates are retained.</v>
      </c>
      <c r="C13" s="186"/>
      <c r="D13" s="187"/>
      <c r="E13" s="187"/>
      <c r="F13" s="187"/>
      <c r="G13" s="187"/>
      <c r="H13" s="188"/>
    </row>
    <row r="14" ht="29" customHeight="1">
      <c r="A14" s="172" t="str">
        <v>Payroll &amp; Staffing</v>
      </c>
      <c r="B14" s="173" t="str">
        <v>Linked positions, headcounts, salaries and loaded payroll. Edit the controlling staffing inputs on Assumptions, not this schedule.</v>
      </c>
      <c r="C14" s="186"/>
      <c r="D14" s="187"/>
      <c r="E14" s="187"/>
      <c r="F14" s="187"/>
      <c r="G14" s="187"/>
      <c r="H14" s="188"/>
    </row>
    <row r="15" ht="29" customHeight="1">
      <c r="A15" s="172" t="str">
        <v>Monthly Budget</v>
      </c>
      <c r="B15" s="173" t="str">
        <v>Selected operating costs; resident revenue and funding need from row 34; occupancy comparison from row 46; checks from row 55.</v>
      </c>
      <c r="C15" s="186"/>
      <c r="D15" s="187"/>
      <c r="E15" s="187"/>
      <c r="F15" s="187"/>
      <c r="G15" s="187"/>
      <c r="H15" s="188"/>
    </row>
    <row r="16" ht="22" customHeight="1">
      <c r="A16" s="172" t="str">
        <v>Scenario Model</v>
      </c>
      <c r="B16" s="173" t="str">
        <v>All nine fuel/scenario totals include loaded payroll. Individual cost rows remain non-payroll detail.</v>
      </c>
      <c r="C16" s="186"/>
      <c r="D16" s="187"/>
      <c r="E16" s="187"/>
      <c r="F16" s="187"/>
      <c r="G16" s="187"/>
      <c r="H16" s="188"/>
    </row>
    <row r="17" ht="29" customHeight="1">
      <c r="A17" s="172" t="str">
        <v>5-Year Projection</v>
      </c>
      <c r="B17" s="173" t="str">
        <v>Both expense projections follow the selected scenario, include payroll and apply the operating inflation input.</v>
      </c>
      <c r="C17" s="186"/>
      <c r="D17" s="187"/>
      <c r="E17" s="187"/>
      <c r="F17" s="187"/>
      <c r="G17" s="187"/>
      <c r="H17" s="188"/>
    </row>
    <row r="18" ht="29" customHeight="1">
      <c r="A18" s="172" t="str">
        <v>Capital vs Operating</v>
      </c>
      <c r="B18" s="173" t="str">
        <v>Capital and reserve remain separate. Expected is the approved capital plan; capital Low/High are separate planning bounds.</v>
      </c>
      <c r="C18" s="186"/>
      <c r="D18" s="187"/>
      <c r="E18" s="187"/>
      <c r="F18" s="187"/>
      <c r="G18" s="187"/>
      <c r="H18" s="188"/>
    </row>
    <row r="19" ht="22" customHeight="1">
      <c r="A19" s="172" t="str">
        <v>Notes &amp; Sources</v>
      </c>
      <c r="B19" s="173" t="str">
        <v>Existing reference URLs, corrected current-rate notes and the revision record.</v>
      </c>
      <c r="C19" s="186"/>
      <c r="D19" s="187"/>
      <c r="E19" s="187"/>
      <c r="F19" s="187"/>
      <c r="G19" s="187"/>
      <c r="H19" s="188"/>
    </row>
    <row r="20" ht="22" customHeight="1">
      <c r="A20" s="172" t="str">
        <v>Payment and reserve</v>
      </c>
      <c r="B20" s="173" t="str">
        <v>Assumptions!B34 holds the resident monthly payment; B35 holds the initial operating reserve.</v>
      </c>
      <c r="C20" s="186"/>
      <c r="D20" s="187"/>
      <c r="E20" s="187"/>
      <c r="F20" s="187"/>
      <c r="G20" s="187"/>
      <c r="H20" s="188"/>
    </row>
    <row r="21" ht="22" customHeight="1">
      <c r="A21" s="172" t="str">
        <v>Staffing inputs</v>
      </c>
      <c r="B21" s="173" t="str">
        <v>Assumptions!A45:C50 holds positions, headcounts and annual salaries. Payroll burden remains B29.</v>
      </c>
      <c r="C21" s="186"/>
      <c r="D21" s="187"/>
      <c r="E21" s="187"/>
      <c r="F21" s="187"/>
      <c r="G21" s="187"/>
      <c r="H21" s="188"/>
    </row>
    <row r="22" ht="29" customHeight="1">
      <c r="A22" s="172" t="str">
        <v>Capital inputs</v>
      </c>
      <c r="B22" s="173" t="str">
        <v>Assumptions!B55:D60 holds Low / Expected / High capital allowances. Totals are calculated and are not locked to the delivery amount.</v>
      </c>
      <c r="C22" s="186"/>
      <c r="D22" s="187"/>
      <c r="E22" s="187"/>
      <c r="F22" s="187"/>
      <c r="G22" s="187"/>
      <c r="H22" s="188"/>
    </row>
    <row r="23" ht="29" customHeight="1">
      <c r="A23" s="172" t="str">
        <v>Physical quantities</v>
      </c>
      <c r="B23" s="173" t="str">
        <v>Assumptions!B36:B38 holds homes, washers and dryers. These scope quantities do not automatically reprice lump-sum capital allowances.</v>
      </c>
      <c r="C23" s="186"/>
      <c r="D23" s="187"/>
      <c r="E23" s="187"/>
      <c r="F23" s="187"/>
      <c r="G23" s="187"/>
      <c r="H23" s="188"/>
    </row>
    <row r="24" ht="29" customHeight="1">
      <c r="A24" s="172" t="str">
        <v>Capital scope</v>
      </c>
      <c r="B24" s="173" t="str">
        <v>Assumptions rows 67–72 describe inclusions/exclusions; rows 75–82 list unresolved professional/scope questions.</v>
      </c>
      <c r="C24" s="186"/>
      <c r="D24" s="187"/>
      <c r="E24" s="187"/>
      <c r="F24" s="187"/>
      <c r="G24" s="187"/>
      <c r="H24" s="188"/>
    </row>
    <row r="25" ht="29" customHeight="1">
      <c r="A25" s="172" t="str">
        <v>Calculation checks</v>
      </c>
      <c r="B25" s="173" t="str">
        <v>Monthly Budget!B76 reports arithmetic PASS/CHECK. Dashboard repeats that result separately from professional status.</v>
      </c>
      <c r="C25" s="186"/>
      <c r="D25" s="187"/>
      <c r="E25" s="187"/>
      <c r="F25" s="187"/>
      <c r="G25" s="187"/>
      <c r="H25" s="188"/>
    </row>
    <row r="26" ht="29" customHeight="1">
      <c r="A26" s="172" t="str">
        <v>Source / acceptance log</v>
      </c>
      <c r="B26" s="173" t="str">
        <v>Assumptions row 85 onward records sources, dates, reviewers and status. Pending notes never drive calculations.</v>
      </c>
      <c r="C26" s="186"/>
      <c r="D26" s="187"/>
      <c r="E26" s="187"/>
      <c r="F26" s="187"/>
      <c r="G26" s="187"/>
      <c r="H26" s="188"/>
    </row>
    <row r="27" ht="29" customHeight="1">
      <c r="A27" s="172" t="str">
        <v>Funding limitations</v>
      </c>
      <c r="B27" s="173" t="str">
        <v>No enterprise income, grants, donations, capital draw schedule or ending cash balances are assumed. This is not a complete cash-flow model.</v>
      </c>
      <c r="C27" s="186"/>
      <c r="D27" s="187"/>
      <c r="E27" s="187"/>
      <c r="F27" s="187"/>
      <c r="G27" s="187"/>
      <c r="H27" s="188"/>
    </row>
    <row r="28" ht="13.65" customHeight="1">
      <c r="A28" s="189"/>
      <c r="B28" s="190"/>
      <c r="C28" s="191"/>
      <c r="D28" s="191"/>
      <c r="E28" s="191"/>
      <c r="F28" s="191"/>
      <c r="G28" s="191"/>
      <c r="H28" s="192"/>
    </row>
    <row r="29" ht="13.65" customHeight="1">
      <c r="A29" t="s" s="179">
        <v>47</v>
      </c>
      <c r="B29" s="180"/>
      <c r="C29" s="181"/>
      <c r="D29" s="181"/>
      <c r="E29" s="181"/>
      <c r="F29" s="181"/>
      <c r="G29" s="181"/>
      <c r="H29" s="182"/>
    </row>
    <row r="30" ht="29" customHeight="1">
      <c r="A30" s="172" t="str">
        <v>Yellow input cells</v>
      </c>
      <c r="B30" s="173" t="str">
        <v>The original pale-yellow input style is retained on Assumptions and extended to new active inputs and acceptance metadata.</v>
      </c>
      <c r="C30" s="183"/>
      <c r="D30" s="184"/>
      <c r="E30" s="184"/>
      <c r="F30" s="184"/>
      <c r="G30" s="184"/>
      <c r="H30" s="185"/>
    </row>
    <row r="31" ht="29" customHeight="1">
      <c r="A31" s="172" t="str">
        <v>Calculated cells</v>
      </c>
      <c r="B31" s="173" t="str">
        <v>Formula cells are linked outputs. Their existing styles are retained; new output cells copy the appropriate existing style.</v>
      </c>
      <c r="C31" s="186"/>
      <c r="D31" s="187"/>
      <c r="E31" s="187"/>
      <c r="F31" s="187"/>
      <c r="G31" s="187"/>
      <c r="H31" s="188"/>
    </row>
    <row r="32" ht="22" customHeight="1">
      <c r="A32" s="172" t="str">
        <v>Totals and dashboard</v>
      </c>
      <c r="B32" s="173" t="str">
        <v>Existing total and dashboard colors are preserved. Added totals match existing counterparts.</v>
      </c>
      <c r="C32" s="186"/>
      <c r="D32" s="187"/>
      <c r="E32" s="187"/>
      <c r="F32" s="187"/>
      <c r="G32" s="187"/>
      <c r="H32" s="188"/>
    </row>
    <row r="33" ht="22" customHeight="1">
      <c r="A33" s="172" t="str">
        <v>Headings</v>
      </c>
      <c r="B33" s="173" t="str">
        <v>Existing colored headings and fonts continue in expanded sections. No new theme is introduced.</v>
      </c>
      <c r="C33" s="186"/>
      <c r="D33" s="187"/>
      <c r="E33" s="187"/>
      <c r="F33" s="187"/>
      <c r="G33" s="187"/>
      <c r="H33" s="188"/>
    </row>
    <row r="34" ht="22" customHeight="1">
      <c r="A34" s="172" t="str">
        <v>PASS / CHECK</v>
      </c>
      <c r="B34" s="173" t="str">
        <v>Text describes the reconciliation result; PASS does not mean a professional quote has been obtained.</v>
      </c>
      <c r="C34" s="186"/>
      <c r="D34" s="187"/>
      <c r="E34" s="187"/>
      <c r="F34" s="187"/>
      <c r="G34" s="187"/>
      <c r="H34" s="188"/>
    </row>
    <row r="35" ht="22" customHeight="1">
      <c r="A35" s="172" t="str">
        <v>Approved planning</v>
      </c>
      <c r="B35" s="173" t="str">
        <v>An accepted planning estimate remains active until its replacement is accepted.</v>
      </c>
      <c r="C35" s="186"/>
      <c r="D35" s="187"/>
      <c r="E35" s="187"/>
      <c r="F35" s="187"/>
      <c r="G35" s="187"/>
      <c r="H35" s="188"/>
    </row>
    <row r="36" ht="22" customHeight="1">
      <c r="A36" s="172" t="str">
        <v>Quoted pending</v>
      </c>
      <c r="B36" s="173" t="str">
        <v>A received quotation awaiting scope review; record it in the source note without replacing an active amount.</v>
      </c>
      <c r="C36" s="186"/>
      <c r="D36" s="187"/>
      <c r="E36" s="187"/>
      <c r="F36" s="187"/>
      <c r="G36" s="187"/>
      <c r="H36" s="188"/>
    </row>
    <row r="37" ht="22" customHeight="1">
      <c r="A37" s="172" t="str">
        <v>Approved validated</v>
      </c>
      <c r="B37" s="173" t="str">
        <v>Accepted replacement information supported by a documented source and review.</v>
      </c>
      <c r="C37" s="186"/>
      <c r="D37" s="187"/>
      <c r="E37" s="187"/>
      <c r="F37" s="187"/>
      <c r="G37" s="187"/>
      <c r="H37" s="188"/>
    </row>
    <row r="38" ht="13.65" customHeight="1">
      <c r="A38" s="189"/>
      <c r="B38" s="190"/>
      <c r="C38" s="191"/>
      <c r="D38" s="191"/>
      <c r="E38" s="191"/>
      <c r="F38" s="191"/>
      <c r="G38" s="191"/>
      <c r="H38" s="192"/>
    </row>
    <row r="39" ht="13.65" customHeight="1">
      <c r="A39" t="s" s="179">
        <v>64</v>
      </c>
      <c r="B39" s="180"/>
      <c r="C39" s="181"/>
      <c r="D39" s="181"/>
      <c r="E39" s="181"/>
      <c r="F39" s="181"/>
      <c r="G39" s="181"/>
      <c r="H39" s="182"/>
    </row>
    <row r="40" ht="22" customHeight="1">
      <c r="A40" s="172" t="str">
        <v>Planning estimate</v>
      </c>
      <c r="B40" s="173" t="str">
        <v>Current accepted assumption. Professional verification may remain pending.</v>
      </c>
      <c r="C40" s="183"/>
      <c r="D40" s="184"/>
      <c r="E40" s="184"/>
      <c r="F40" s="184"/>
      <c r="G40" s="184"/>
      <c r="H40" s="185"/>
    </row>
    <row r="41" ht="22" customHeight="1">
      <c r="A41" s="172" t="str">
        <v>Pending quote</v>
      </c>
      <c r="B41" s="173" t="str">
        <v>Receiving a quote does not approve it. Record source, scope and pending status while retaining active inputs.</v>
      </c>
      <c r="C41" s="186"/>
      <c r="D41" s="187"/>
      <c r="E41" s="187"/>
      <c r="F41" s="187"/>
      <c r="G41" s="187"/>
      <c r="H41" s="188"/>
    </row>
    <row r="42" ht="22" customHeight="1">
      <c r="A42" s="172" t="str">
        <v>Accepted replacement</v>
      </c>
      <c r="B42" s="173" t="str">
        <v>After scope review and acceptance, update the active input and record source, date and reviewer.</v>
      </c>
      <c r="C42" s="186"/>
      <c r="D42" s="187"/>
      <c r="E42" s="187"/>
      <c r="F42" s="187"/>
      <c r="G42" s="187"/>
      <c r="H42" s="188"/>
    </row>
    <row r="43" ht="22" customHeight="1">
      <c r="A43" s="172" t="str">
        <v>Scope to confirm</v>
      </c>
      <c r="B43" s="173" t="str">
        <v>A specific unresolved capital inclusion/boundary; missing detail is not a zero-cost assumption.</v>
      </c>
      <c r="C43" s="186"/>
      <c r="D43" s="187"/>
      <c r="E43" s="187"/>
      <c r="F43" s="187"/>
      <c r="G43" s="187"/>
      <c r="H43" s="188"/>
    </row>
    <row r="44" ht="22" customHeight="1">
      <c r="A44" s="172" t="str">
        <v>Formula</v>
      </c>
      <c r="B44" s="173" t="str">
        <v>Calculated from controlling inputs. Do not type over it.</v>
      </c>
      <c r="C44" s="186"/>
      <c r="D44" s="187"/>
      <c r="E44" s="187"/>
      <c r="F44" s="187"/>
      <c r="G44" s="187"/>
      <c r="H44" s="188"/>
    </row>
    <row r="45" ht="22" customHeight="1">
      <c r="A45" s="172" t="str">
        <v>N/A</v>
      </c>
      <c r="B45" s="173" t="str">
        <v>Per-resident cost is not meaningful at zero residents. All Village operating expenses still remain payable.</v>
      </c>
      <c r="C45" s="186"/>
      <c r="D45" s="187"/>
      <c r="E45" s="187"/>
      <c r="F45" s="187"/>
      <c r="G45" s="187"/>
      <c r="H45" s="188"/>
    </row>
    <row r="46" ht="29" customHeight="1">
      <c r="A46" s="172" t="str">
        <v>Source record</v>
      </c>
      <c r="B46" s="173" t="str">
        <v>Do not invent quotation dates, reviewers or commitments. Blank dates and Unassigned reviewers identify unsupplied information.</v>
      </c>
      <c r="C46" s="186"/>
      <c r="D46" s="187"/>
      <c r="E46" s="187"/>
      <c r="F46" s="187"/>
      <c r="G46" s="187"/>
      <c r="H46" s="188"/>
    </row>
    <row r="47" ht="13.65" customHeight="1">
      <c r="A47" s="189"/>
      <c r="B47" s="190"/>
      <c r="C47" s="191"/>
      <c r="D47" s="191"/>
      <c r="E47" s="191"/>
      <c r="F47" s="191"/>
      <c r="G47" s="191"/>
      <c r="H47" s="192"/>
    </row>
    <row r="48" ht="13.65" customHeight="1">
      <c r="A48" t="s" s="179">
        <v>79</v>
      </c>
      <c r="B48" s="180"/>
      <c r="C48" s="181"/>
      <c r="D48" s="181"/>
      <c r="E48" s="181"/>
      <c r="F48" s="181"/>
      <c r="G48" s="181"/>
      <c r="H48" s="182"/>
    </row>
    <row r="49" ht="22" customHeight="1">
      <c r="A49" s="172" t="str">
        <v>1. Preserve a copy</v>
      </c>
      <c r="B49" s="173" t="str">
        <v>Keep the prior approved file before a material revision.</v>
      </c>
      <c r="C49" s="183"/>
      <c r="D49" s="184"/>
      <c r="E49" s="184"/>
      <c r="F49" s="184"/>
      <c r="G49" s="184"/>
      <c r="H49" s="185"/>
    </row>
    <row r="50" ht="22" customHeight="1">
      <c r="A50" s="172" t="str">
        <v>2. Review the replacement</v>
      </c>
      <c r="B50" s="173" t="str">
        <v>Confirm scope, units, exclusions and acceptance before replacing a controlling input.</v>
      </c>
      <c r="C50" s="186"/>
      <c r="D50" s="187"/>
      <c r="E50" s="187"/>
      <c r="F50" s="187"/>
      <c r="G50" s="187"/>
      <c r="H50" s="188"/>
    </row>
    <row r="51" ht="29" customHeight="1">
      <c r="A51" s="172" t="str">
        <v>3. Update Assumptions</v>
      </c>
      <c r="B51" s="173" t="str">
        <v>Enter the accepted amount in its active input cell. Record source, date, reviewer and status in the source log.</v>
      </c>
      <c r="C51" s="186"/>
      <c r="D51" s="187"/>
      <c r="E51" s="187"/>
      <c r="F51" s="187"/>
      <c r="G51" s="187"/>
      <c r="H51" s="188"/>
    </row>
    <row r="52" ht="22" customHeight="1">
      <c r="A52" s="172" t="str">
        <v>4. Confirm flow-through</v>
      </c>
      <c r="B52" s="173" t="str">
        <v>Check the affected supporting schedule and dashboard; never manually force a dependent total.</v>
      </c>
      <c r="C52" s="186"/>
      <c r="D52" s="187"/>
      <c r="E52" s="187"/>
      <c r="F52" s="187"/>
      <c r="G52" s="187"/>
      <c r="H52" s="188"/>
    </row>
    <row r="53" ht="29" customHeight="1">
      <c r="A53" s="172" t="str">
        <v>5. Review checks</v>
      </c>
      <c r="B53" s="173" t="str">
        <v>Monthly Budget checks must show PASS or an actual issue must be resolved. Professional scope questions remain separately visible.</v>
      </c>
      <c r="C53" s="186"/>
      <c r="D53" s="187"/>
      <c r="E53" s="187"/>
      <c r="F53" s="187"/>
      <c r="G53" s="187"/>
      <c r="H53" s="188"/>
    </row>
    <row r="54" ht="22" customHeight="1">
      <c r="A54" s="172" t="str">
        <v>6. Review funding need</v>
      </c>
      <c r="B54" s="173" t="str">
        <v>Resident payments reduce operating funding need. No speculative funding or automatic reserve draw is included.</v>
      </c>
      <c r="C54" s="186"/>
      <c r="D54" s="187"/>
      <c r="E54" s="187"/>
      <c r="F54" s="187"/>
      <c r="G54" s="187"/>
      <c r="H54" s="188"/>
    </row>
    <row r="55" ht="22" customHeight="1">
      <c r="A55" s="172" t="str">
        <v>7. Review capital scope</v>
      </c>
      <c r="B55" s="173" t="str">
        <v>Check the inclusion/exclusion notes before adding a cost so it is not counted in two allowances.</v>
      </c>
      <c r="C55" s="186"/>
      <c r="D55" s="187"/>
      <c r="E55" s="187"/>
      <c r="F55" s="187"/>
      <c r="G55" s="187"/>
      <c r="H55" s="188"/>
    </row>
    <row r="56" ht="29" customHeight="1">
      <c r="A56" s="172" t="str">
        <v>8. Save an approved version</v>
      </c>
      <c r="B56" s="173" t="str">
        <v>Record material changes and retain the prior version. Qualified professionals remain responsible for cost/scope validation.</v>
      </c>
      <c r="C56" s="186"/>
      <c r="D56" s="187"/>
      <c r="E56" s="187"/>
      <c r="F56" s="187"/>
      <c r="G56" s="187"/>
      <c r="H56" s="188"/>
    </row>
    <row r="57" ht="13.65" customHeight="1">
      <c r="A57" s="189"/>
      <c r="B57" s="190"/>
      <c r="C57" s="191"/>
      <c r="D57" s="191"/>
      <c r="E57" s="191"/>
      <c r="F57" s="191"/>
      <c r="G57" s="191"/>
      <c r="H57" s="192"/>
    </row>
    <row r="58" ht="13.65" customHeight="1">
      <c r="A58" t="s" s="179">
        <v>96</v>
      </c>
      <c r="B58" s="180"/>
      <c r="C58" s="181"/>
      <c r="D58" s="181"/>
      <c r="E58" s="181"/>
      <c r="F58" s="181"/>
      <c r="G58" s="181"/>
      <c r="H58" s="182"/>
    </row>
    <row r="59" ht="22" customHeight="1">
      <c r="A59" s="172" t="str">
        <v>Fuel model</v>
      </c>
      <c r="B59" s="173" t="str">
        <v>Assumptions!B4 selects All-Electric, Natural Gas or Propane.</v>
      </c>
      <c r="C59" s="183"/>
      <c r="D59" s="184"/>
      <c r="E59" s="184"/>
      <c r="F59" s="184"/>
      <c r="G59" s="184"/>
      <c r="H59" s="185"/>
    </row>
    <row r="60" ht="22" customHeight="1">
      <c r="A60" s="172" t="str">
        <v>Scenario</v>
      </c>
      <c r="B60" s="173" t="str">
        <v>Assumptions!B5 selects Low, Expected or High operating inputs for the budget and both five-year projections.</v>
      </c>
      <c r="C60" s="186"/>
      <c r="D60" s="187"/>
      <c r="E60" s="187"/>
      <c r="F60" s="187"/>
      <c r="G60" s="187"/>
      <c r="H60" s="188"/>
    </row>
    <row r="61" ht="29" customHeight="1">
      <c r="A61" s="172" t="str">
        <v>Beds and residents</v>
      </c>
      <c r="B61" s="173" t="str">
        <v>B6 is available beds, B7 is occupied residents/beds, and B8 is annual Veterans served. These are distinct quantities.</v>
      </c>
      <c r="C61" s="186"/>
      <c r="D61" s="187"/>
      <c r="E61" s="187"/>
      <c r="F61" s="187"/>
      <c r="G61" s="187"/>
      <c r="H61" s="188"/>
    </row>
    <row r="62" ht="22" customHeight="1">
      <c r="A62" s="172" t="str">
        <v>Payroll</v>
      </c>
      <c r="B62" s="173" t="str">
        <v>Edit Assumptions!A45:C50 and B29. All operating scenario totals include that loaded payroll once.</v>
      </c>
      <c r="C62" s="186"/>
      <c r="D62" s="187"/>
      <c r="E62" s="187"/>
      <c r="F62" s="187"/>
      <c r="G62" s="187"/>
      <c r="H62" s="188"/>
    </row>
    <row r="63" ht="29" customHeight="1">
      <c r="A63" s="172" t="str">
        <v>Daily / annual costs</v>
      </c>
      <c r="B63" s="173" t="str">
        <v>Monthly expenses × 12 = annual expenses. Daily costs use annual expenses ÷ 365 and the labeled resident or bed denominator.</v>
      </c>
      <c r="C63" s="186"/>
      <c r="D63" s="187"/>
      <c r="E63" s="187"/>
      <c r="F63" s="187"/>
      <c r="G63" s="187"/>
      <c r="H63" s="188"/>
    </row>
    <row r="64" ht="29" customHeight="1">
      <c r="A64" s="172" t="str">
        <v>Resident payments</v>
      </c>
      <c r="B64" s="173" t="str">
        <v>B34 is payment per resident/month. It is not operating cost per resident. Revenue equals B7 × B34; annual figures hold that count for 12 months.</v>
      </c>
      <c r="C64" s="186"/>
      <c r="D64" s="187"/>
      <c r="E64" s="187"/>
      <c r="F64" s="187"/>
      <c r="G64" s="187"/>
      <c r="H64" s="188"/>
    </row>
    <row r="65" ht="13.65" customHeight="1">
      <c r="A65" s="189"/>
      <c r="B65" s="190"/>
      <c r="C65" s="191"/>
      <c r="D65" s="191"/>
      <c r="E65" s="191"/>
      <c r="F65" s="191"/>
      <c r="G65" s="191"/>
      <c r="H65" s="192"/>
    </row>
    <row r="66" ht="13.65" customHeight="1">
      <c r="A66" t="s" s="179">
        <v>109</v>
      </c>
      <c r="B66" s="180"/>
      <c r="C66" s="181"/>
      <c r="D66" s="181"/>
      <c r="E66" s="181"/>
      <c r="F66" s="181"/>
      <c r="G66" s="181"/>
      <c r="H66" s="182"/>
    </row>
    <row r="67" ht="29" customHeight="1">
      <c r="A67" s="172" t="str">
        <v>Capital updates</v>
      </c>
      <c r="B67" s="173" t="str">
        <v>Edit accepted allowances on Assumptions. Preserve the current total for this delivery; later accepted changes may increase or decrease it.</v>
      </c>
      <c r="C67" s="183"/>
      <c r="D67" s="184"/>
      <c r="E67" s="184"/>
      <c r="F67" s="184"/>
      <c r="G67" s="184"/>
      <c r="H67" s="185"/>
    </row>
    <row r="68" ht="29" customHeight="1">
      <c r="A68" s="172" t="str">
        <v>Equipment boundary</v>
      </c>
      <c r="B68" s="173" t="str">
        <f>"The laundry/kitchen/logistics allowance includes "&amp;'Assumptions'!B37&amp;" washers, "&amp;'Assumptions'!B38&amp;" dryers, kitchen equipment and related installation inside the Command Center."</f>
        <v>The laundry/kitchen/logistics allowance includes 8 washers, 4 dryers, kitchen equipment and related installation inside the Command Center.</v>
      </c>
      <c r="C68" s="186"/>
      <c r="D68" s="187"/>
      <c r="E68" s="187"/>
      <c r="F68" s="187"/>
      <c r="G68" s="187"/>
      <c r="H68" s="188"/>
    </row>
    <row r="69" ht="29" customHeight="1">
      <c r="A69" s="172" t="str">
        <v>Contingency / escalation</v>
      </c>
      <c r="B69" s="173" t="str">
        <v>Neither has a separately established capital allocation. Do not invent one or count possible savings twice. Operating inflation is separate.</v>
      </c>
      <c r="C69" s="186"/>
      <c r="D69" s="187"/>
      <c r="E69" s="187"/>
      <c r="F69" s="187"/>
      <c r="G69" s="187"/>
      <c r="H69" s="188"/>
    </row>
    <row r="70" ht="29" customHeight="1">
      <c r="A70" s="172" t="str">
        <v>Plumbing boundary</v>
      </c>
      <c r="B70" s="173" t="str">
        <v>Serving plumbing belongs to site infrastructure; reclamation covers process apparatus/integral equipment. Unresolved handoffs are listed on Assumptions.</v>
      </c>
      <c r="C70" s="186"/>
      <c r="D70" s="187"/>
      <c r="E70" s="187"/>
      <c r="F70" s="187"/>
      <c r="G70" s="187"/>
      <c r="H70" s="188"/>
    </row>
    <row r="71" ht="29" customHeight="1">
      <c r="A71" s="172" t="str">
        <v>Funding / cash timing</v>
      </c>
      <c r="B71" s="173" t="str">
        <v>Capital sources, construction draw timing and full cash-flow forecasting await accepted information. Do not claim these schedules exist.</v>
      </c>
      <c r="C71" s="186"/>
      <c r="D71" s="187"/>
      <c r="E71" s="187"/>
      <c r="F71" s="187"/>
      <c r="G71" s="187"/>
      <c r="H71" s="188"/>
    </row>
    <row r="72" ht="29" customHeight="1">
      <c r="A72" s="172" t="str">
        <v>Operating reserve</v>
      </c>
      <c r="B72" s="173" t="str">
        <v>Separate capitalized reserve, not recurring revenue. Gross coverage equals reserve ÷ operating expense; no automatic draw is modeled.</v>
      </c>
      <c r="C72" s="186"/>
      <c r="D72" s="187"/>
      <c r="E72" s="187"/>
      <c r="F72" s="187"/>
      <c r="G72" s="187"/>
      <c r="H72" s="188"/>
    </row>
    <row r="73" ht="22" customHeight="1">
      <c r="A73" s="172" t="str">
        <v>Enterprise income</v>
      </c>
      <c r="B73" s="173" t="str">
        <v>No speculative enterprise contribution is used to balance operating expenses.</v>
      </c>
      <c r="C73" s="186"/>
      <c r="D73" s="187"/>
      <c r="E73" s="187"/>
      <c r="F73" s="187"/>
      <c r="G73" s="187"/>
      <c r="H73" s="188"/>
    </row>
    <row r="74" ht="29" customHeight="1">
      <c r="A74" s="172" t="str">
        <v>Formula safeguards</v>
      </c>
      <c r="B74" s="173" t="str">
        <v>Linked sheets are protected without a password against accidental changes. Use Excel Unprotect Sheet for an authorized structural edit; avoid pasting over validation.</v>
      </c>
      <c r="C74" s="186"/>
      <c r="D74" s="187"/>
      <c r="E74" s="187"/>
      <c r="F74" s="187"/>
      <c r="G74" s="187"/>
      <c r="H74" s="188"/>
    </row>
    <row r="75" ht="13.65" customHeight="1">
      <c r="A75" s="189"/>
      <c r="B75" s="190"/>
      <c r="C75" s="191"/>
      <c r="D75" s="191"/>
      <c r="E75" s="191"/>
      <c r="F75" s="191"/>
      <c r="G75" s="191"/>
      <c r="H75" s="192"/>
    </row>
    <row r="76" ht="13.65" customHeight="1">
      <c r="A76" t="s" s="179">
        <v>124</v>
      </c>
      <c r="B76" s="180"/>
      <c r="C76" s="181"/>
      <c r="D76" s="181"/>
      <c r="E76" s="181"/>
      <c r="F76" s="181"/>
      <c r="G76" s="181"/>
      <c r="H76" s="182"/>
    </row>
    <row r="77" ht="22" customHeight="1">
      <c r="A77" s="172" t="str">
        <v>Founder / committees</v>
      </c>
      <c r="B77" s="173" t="str">
        <v>Review proposed replacements for scope and acceptance. Assign responsible reviewers in the input source log.</v>
      </c>
      <c r="C77" s="183"/>
      <c r="D77" s="184"/>
      <c r="E77" s="184"/>
      <c r="F77" s="184"/>
      <c r="G77" s="184"/>
      <c r="H77" s="185"/>
    </row>
    <row r="78" ht="29" customHeight="1">
      <c r="A78" s="172" t="str">
        <v>CPA</v>
      </c>
      <c r="B78" s="173" t="str">
        <v>Review payroll, reserve treatment, classifications and eventual cash timing. Spreadsheet reconciliation does not imply CPA approval.</v>
      </c>
      <c r="C78" s="186"/>
      <c r="D78" s="187"/>
      <c r="E78" s="187"/>
      <c r="F78" s="187"/>
      <c r="G78" s="187"/>
      <c r="H78" s="188"/>
    </row>
    <row r="79" ht="22" customHeight="1">
      <c r="A79" s="172" t="str">
        <v>Funding professionals</v>
      </c>
      <c r="B79" s="173" t="str">
        <v>Validate actual funding sources and restrictions before constructing a funding/cash forecast.</v>
      </c>
      <c r="C79" s="186"/>
      <c r="D79" s="187"/>
      <c r="E79" s="187"/>
      <c r="F79" s="187"/>
      <c r="G79" s="187"/>
      <c r="H79" s="188"/>
    </row>
    <row r="80" ht="22" customHeight="1">
      <c r="A80" s="172" t="str">
        <v>Technical professionals</v>
      </c>
      <c r="B80" s="173" t="str">
        <v>Validate site conditions, utilities, buildings, equipment and missing capital allocations.</v>
      </c>
      <c r="C80" s="186"/>
      <c r="D80" s="187"/>
      <c r="E80" s="187"/>
      <c r="F80" s="187"/>
      <c r="G80" s="187"/>
      <c r="H80" s="188"/>
    </row>
    <row r="81" ht="29" customHeight="1">
      <c r="A81" s="172" t="str">
        <v>Presentation check</v>
      </c>
      <c r="B81" s="173" t="str">
        <v>Confirm current inputs, dashboard results and scope disclosures before circulating figures. The model does not automatically scale expenses with occupancy.</v>
      </c>
      <c r="C81" s="186"/>
      <c r="D81" s="187"/>
      <c r="E81" s="187"/>
      <c r="F81" s="187"/>
      <c r="G81" s="187"/>
      <c r="H81" s="188"/>
    </row>
    <row r="82" ht="22" customHeight="1">
      <c r="A82" s="172" t="str">
        <v>Delivery baseline</v>
      </c>
      <c r="B82" s="173" t="str">
        <v>Propane / Low; 10 residents; 30 beds; $500 payment; $0.15/kWh. Approved original cost inputs retained.</v>
      </c>
      <c r="C82" s="193"/>
      <c r="D82" s="194"/>
      <c r="E82" s="194"/>
      <c r="F82" s="194"/>
      <c r="G82" s="194"/>
      <c r="H82" s="195"/>
    </row>
  </sheetData>
  <sheetProtection sheet="1" objects="1" scenarios="1" formatCells="1" formatColumns="0" formatRows="0" insertColumns="1" insertRows="1" deleteColumns="1" deleteRows="1" selectLockedCells="0" selectUnlockedCells="0" sort="1" autoFilter="0"/>
  <mergeCells count="9">
    <mergeCell ref="A1:H1"/>
    <mergeCell ref="A3:H3"/>
    <mergeCell ref="A10:H10"/>
    <mergeCell ref="A29:H29"/>
    <mergeCell ref="A39:H39"/>
    <mergeCell ref="A48:H48"/>
    <mergeCell ref="A58:H58"/>
    <mergeCell ref="A66:H66"/>
    <mergeCell ref="A76:H7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H40"/>
  <sheetViews>
    <sheetView workbookViewId="0" showGridLines="0" defaultGridColor="1"/>
  </sheetViews>
  <sheetFormatPr defaultColWidth="8.83333" defaultRowHeight="15" customHeight="1" outlineLevelRow="0" outlineLevelCol="0"/>
  <cols>
    <col min="1" max="1" width="22.1719" style="27" customWidth="1"/>
    <col min="2" max="2" width="18.1719" style="27" customWidth="1"/>
    <col min="3" max="3" width="22.1719" style="27" customWidth="1"/>
    <col min="4" max="4" width="18.1719" style="27" customWidth="1"/>
    <col min="5" max="5" width="22.1719" style="27" customWidth="1"/>
    <col min="6" max="6" width="18.1719" style="27" customWidth="1"/>
    <col min="7" max="7" width="22.1719" style="27" customWidth="1"/>
    <col min="8" max="8" width="18.1719" style="27" customWidth="1"/>
    <col min="9" max="16384" width="8.85156" style="27" customWidth="1"/>
  </cols>
  <sheetData>
    <row r="1" ht="27.75" customHeight="1">
      <c r="A1" t="s" s="210">
        <v>137</v>
      </c>
      <c r="B1" s="211"/>
      <c r="C1" s="211"/>
      <c r="D1" s="211"/>
      <c r="E1" s="211"/>
      <c r="F1" s="211"/>
      <c r="G1" s="211"/>
      <c r="H1" s="212"/>
    </row>
    <row r="2" ht="12.75" customHeight="1">
      <c r="A2" s="213"/>
      <c r="B2" s="214"/>
      <c r="C2" s="214"/>
      <c r="D2" s="214"/>
      <c r="E2" s="214"/>
      <c r="F2" s="214"/>
      <c r="G2" s="214"/>
      <c r="H2" s="215"/>
    </row>
    <row r="3" ht="15" customHeight="1">
      <c r="A3" t="s" s="201">
        <v>138</v>
      </c>
      <c r="B3" t="str" s="208" cm="1">
        <f t="array" ref="B3">'Assumptions'!B4</f>
        <v>Propane</v>
      </c>
      <c r="C3" t="s" s="216">
        <v>99</v>
      </c>
      <c r="D3" t="str" s="208" cm="1">
        <f t="array" ref="D3">'Assumptions'!B5</f>
        <v>Low</v>
      </c>
      <c r="E3" t="s" s="216">
        <v>141</v>
      </c>
      <c r="F3" s="217" cm="1">
        <f t="array" ref="F3">'Assumptions'!B6</f>
        <v>30</v>
      </c>
      <c r="G3" t="s" s="216">
        <v>142</v>
      </c>
      <c r="H3" s="198" t="n">
        <f t="array" ref="H3">IF('Assumptions'!B6=0,"N/A",'Assumptions'!B7/'Assumptions'!B6)</f>
        <v>0.3333333333333333</v>
      </c>
    </row>
    <row r="4" ht="15" customHeight="1">
      <c r="A4" t="s" s="218">
        <v>143</v>
      </c>
      <c r="B4" s="219"/>
      <c r="C4" t="s" s="196">
        <v>144</v>
      </c>
      <c r="D4" s="219"/>
      <c r="E4" s="196" t="str">
        <v>Cost / Resident / Month</v>
      </c>
      <c r="F4" s="219"/>
      <c r="G4" s="196" t="str">
        <v>Cost / Occupied Bed-Day</v>
      </c>
      <c r="H4" s="220"/>
    </row>
    <row r="5" ht="15" customHeight="1">
      <c r="A5" s="221" cm="1">
        <f t="array" ref="A5">'Monthly Budget'!E24</f>
        <v>44109.2</v>
      </c>
      <c r="B5" s="221"/>
      <c r="C5" s="221" cm="1">
        <f t="array" ref="C5">'Monthly Budget'!B30</f>
        <v>529310.3999999999</v>
      </c>
      <c r="D5" s="221"/>
      <c r="E5" s="221" cm="1">
        <f t="array" ref="E5">'Monthly Budget'!B28</f>
        <v>4410.92</v>
      </c>
      <c r="F5" s="221"/>
      <c r="G5" s="222" cm="1">
        <f t="array" ref="G5">'Monthly Budget'!B29</f>
        <v>145.01654794520545</v>
      </c>
      <c r="H5" s="222"/>
    </row>
    <row r="6" ht="15" customHeight="1">
      <c r="A6" s="221"/>
      <c r="B6" s="221"/>
      <c r="C6" s="221"/>
      <c r="D6" s="221"/>
      <c r="E6" s="221"/>
      <c r="F6" s="221"/>
      <c r="G6" s="222"/>
      <c r="H6" s="222"/>
    </row>
    <row r="7" ht="15" customHeight="1">
      <c r="A7" s="221"/>
      <c r="B7" s="221"/>
      <c r="C7" s="221"/>
      <c r="D7" s="221"/>
      <c r="E7" s="221"/>
      <c r="F7" s="221"/>
      <c r="G7" s="222"/>
      <c r="H7" s="222"/>
    </row>
    <row r="8" ht="15" customHeight="1">
      <c r="A8" s="197" t="str">
        <v>Initial Capitalization Need</v>
      </c>
      <c r="B8" s="223"/>
      <c r="C8" t="s" s="224">
        <v>148</v>
      </c>
      <c r="D8" s="223"/>
      <c r="E8" t="s" s="224">
        <v>149</v>
      </c>
      <c r="F8" s="223"/>
      <c r="G8" t="s" s="224">
        <v>150</v>
      </c>
      <c r="H8" s="225"/>
    </row>
    <row r="9" ht="15" customHeight="1">
      <c r="A9" s="221" cm="1">
        <f t="array" ref="A9">'Capital vs Operating'!C12</f>
        <v>22300000</v>
      </c>
      <c r="B9" s="221"/>
      <c r="C9" s="221" cm="1">
        <f t="array" ref="C9">'5-Year Projection'!G10</f>
        <v>595743.518424624</v>
      </c>
      <c r="D9" s="221"/>
      <c r="E9" s="226" cm="1">
        <f t="array" ref="E9">'Assumptions'!B8</f>
        <v>30</v>
      </c>
      <c r="F9" s="226"/>
      <c r="G9" s="221" cm="1">
        <f t="array" ref="G9">'Monthly Budget'!B31</f>
        <v>17643.679999999997</v>
      </c>
      <c r="H9" s="221"/>
    </row>
    <row r="10" ht="15" customHeight="1">
      <c r="A10" s="221"/>
      <c r="B10" s="221"/>
      <c r="C10" s="221"/>
      <c r="D10" s="221"/>
      <c r="E10" s="226"/>
      <c r="F10" s="226"/>
      <c r="G10" s="221"/>
      <c r="H10" s="221"/>
    </row>
    <row r="11" ht="15" customHeight="1">
      <c r="A11" s="221"/>
      <c r="B11" s="221"/>
      <c r="C11" s="221"/>
      <c r="D11" s="221"/>
      <c r="E11" s="226"/>
      <c r="F11" s="226"/>
      <c r="G11" s="221"/>
      <c r="H11" s="221"/>
    </row>
    <row r="12" ht="12.75" customHeight="1">
      <c r="A12" s="227"/>
      <c r="B12" s="228"/>
      <c r="C12" s="228"/>
      <c r="D12" s="228"/>
      <c r="E12" s="228"/>
      <c r="F12" s="228"/>
      <c r="G12" s="228"/>
      <c r="H12" s="229"/>
    </row>
    <row r="13" ht="15" customHeight="1">
      <c r="A13" t="s" s="230">
        <v>151</v>
      </c>
      <c r="B13" s="231"/>
      <c r="C13" s="214"/>
      <c r="D13" s="214"/>
      <c r="E13" s="214"/>
      <c r="F13" s="214"/>
      <c r="G13" s="214"/>
      <c r="H13" s="215"/>
    </row>
    <row r="14" ht="15" customHeight="1">
      <c r="A14" t="s" s="207">
        <v>152</v>
      </c>
      <c r="B14" t="s" s="232">
        <v>153</v>
      </c>
      <c r="C14" t="s" s="233">
        <v>154</v>
      </c>
      <c r="D14" t="s" s="233">
        <v>155</v>
      </c>
      <c r="E14" s="214"/>
      <c r="F14" s="214"/>
      <c r="G14" s="214"/>
      <c r="H14" s="215"/>
    </row>
    <row r="15" ht="15" customHeight="1">
      <c r="A15" t="s" s="234">
        <v>156</v>
      </c>
      <c r="B15" s="235" cm="1">
        <f t="array" ref="B15">'Scenario Model'!B17</f>
        <v>43589</v>
      </c>
      <c r="C15" s="235" cm="1">
        <f t="array" ref="C15">'Scenario Model'!C17</f>
        <v>46079.15</v>
      </c>
      <c r="D15" s="235" cm="1">
        <f t="array" ref="D15">'Scenario Model'!D17</f>
        <v>48779.3</v>
      </c>
      <c r="E15" s="214"/>
      <c r="F15" s="214"/>
      <c r="G15" s="214"/>
      <c r="H15" s="215"/>
    </row>
    <row r="16" ht="15" customHeight="1">
      <c r="A16" t="s" s="234">
        <v>157</v>
      </c>
      <c r="B16" s="235" cm="1">
        <f t="array" ref="B16">'Scenario Model'!F17</f>
        <v>43664</v>
      </c>
      <c r="C16" s="235" cm="1">
        <f t="array" ref="C16">'Scenario Model'!G17</f>
        <v>46716.5</v>
      </c>
      <c r="D16" s="235" cm="1">
        <f t="array" ref="D16">'Scenario Model'!H17</f>
        <v>50054</v>
      </c>
      <c r="E16" s="214"/>
      <c r="F16" s="214"/>
      <c r="G16" s="214"/>
      <c r="H16" s="215"/>
    </row>
    <row r="17" ht="15" customHeight="1">
      <c r="A17" t="s" s="234">
        <v>158</v>
      </c>
      <c r="B17" s="235" cm="1">
        <f t="array" ref="B17">'Scenario Model'!J17</f>
        <v>44109.2</v>
      </c>
      <c r="C17" s="235" cm="1">
        <f t="array" ref="C17">'Scenario Model'!K17</f>
        <v>47399</v>
      </c>
      <c r="D17" s="235" cm="1">
        <f t="array" ref="D17">'Scenario Model'!L17</f>
        <v>50915</v>
      </c>
      <c r="E17" s="214"/>
      <c r="F17" s="214"/>
      <c r="G17" s="214"/>
      <c r="H17" s="215"/>
    </row>
    <row r="18" ht="15" customHeight="1">
      <c r="A18" s="213"/>
      <c r="B18" s="214"/>
      <c r="C18" s="214"/>
      <c r="D18" s="214"/>
      <c r="E18" s="214"/>
      <c r="F18" s="214"/>
      <c r="G18" s="214"/>
      <c r="H18" s="215"/>
    </row>
    <row r="19" ht="15" customHeight="1">
      <c r="A19" s="199" t="str">
        <v>Cost / Resident / Year</v>
      </c>
      <c r="B19" s="200" t="n">
        <f t="array" ref="B19">IF('Assumptions'!B7=0,"N/A",C5/'Assumptions'!B7)</f>
        <v>52931.03999999999</v>
      </c>
      <c r="C19" s="214"/>
      <c r="D19" s="214"/>
      <c r="E19" s="214"/>
      <c r="F19" s="214"/>
      <c r="G19" s="214"/>
      <c r="H19" s="215"/>
    </row>
    <row r="20" ht="15" customHeight="1">
      <c r="A20" s="199" t="str">
        <v>Cost / Bed-Day</v>
      </c>
      <c r="B20" s="200" t="n">
        <f t="array" ref="B20">IF(F3=0,"N/A",C5/'Assumptions'!B39/F3)</f>
        <v>48.33884931506849</v>
      </c>
      <c r="C20" s="214"/>
      <c r="D20" s="214"/>
      <c r="E20" s="214"/>
      <c r="F20" s="214"/>
      <c r="G20" s="214"/>
      <c r="H20" s="215"/>
    </row>
    <row r="21" ht="15" customHeight="1">
      <c r="A21" s="201" t="str">
        <v>All available beds</v>
      </c>
      <c r="B21" s="214"/>
      <c r="C21" s="214"/>
      <c r="D21" s="214"/>
      <c r="E21" s="214"/>
      <c r="F21" s="214"/>
      <c r="G21" s="214"/>
      <c r="H21" s="215"/>
    </row>
    <row r="22" ht="15" customHeight="1">
      <c r="A22" s="213"/>
      <c r="B22" s="214"/>
      <c r="C22" s="214"/>
      <c r="D22" s="214"/>
      <c r="E22" s="214"/>
      <c r="F22" s="214"/>
      <c r="G22" s="214"/>
      <c r="H22" s="215"/>
    </row>
    <row r="23" ht="15" customHeight="1">
      <c r="A23" s="213"/>
      <c r="B23" s="214"/>
      <c r="C23" s="214"/>
      <c r="D23" s="214"/>
      <c r="E23" s="214"/>
      <c r="F23" s="214"/>
      <c r="G23" s="214"/>
      <c r="H23" s="215"/>
    </row>
    <row r="24" ht="15" customHeight="1">
      <c r="A24" s="213"/>
      <c r="B24" s="214"/>
      <c r="C24" s="214"/>
      <c r="D24" s="214"/>
      <c r="E24" s="214"/>
      <c r="F24" s="214"/>
      <c r="G24" s="214"/>
      <c r="H24" s="215"/>
    </row>
    <row r="25" ht="15" customHeight="1">
      <c r="A25" s="213"/>
      <c r="B25" s="214"/>
      <c r="C25" s="214"/>
      <c r="D25" s="214"/>
      <c r="E25" s="214"/>
      <c r="F25" s="214"/>
      <c r="G25" s="214"/>
      <c r="H25" s="215"/>
    </row>
    <row r="26" ht="15" customHeight="1">
      <c r="A26" s="213"/>
      <c r="B26" s="214"/>
      <c r="C26" s="214"/>
      <c r="D26" s="214"/>
      <c r="E26" s="214"/>
      <c r="F26" s="214"/>
      <c r="G26" s="214"/>
      <c r="H26" s="215"/>
    </row>
    <row r="27" ht="15" customHeight="1">
      <c r="A27" s="213"/>
      <c r="B27" s="214"/>
      <c r="C27" s="214"/>
      <c r="D27" s="214"/>
      <c r="E27" s="214"/>
      <c r="F27" s="214"/>
      <c r="G27" s="214"/>
      <c r="H27" s="215"/>
    </row>
    <row r="28" ht="15" customHeight="1">
      <c r="A28" s="213"/>
      <c r="B28" s="214"/>
      <c r="C28" s="214"/>
      <c r="D28" s="214"/>
      <c r="E28" s="214"/>
      <c r="F28" s="214"/>
      <c r="G28" s="214"/>
      <c r="H28" s="215"/>
    </row>
    <row r="29" ht="15" customHeight="1">
      <c r="A29" s="213"/>
      <c r="B29" s="214"/>
      <c r="C29" s="214"/>
      <c r="D29" s="214"/>
      <c r="E29" s="214"/>
      <c r="F29" s="214"/>
      <c r="G29" s="214"/>
      <c r="H29" s="215"/>
    </row>
    <row r="30" ht="15" customHeight="1">
      <c r="A30" s="213"/>
      <c r="B30" s="214"/>
      <c r="C30" s="214"/>
      <c r="D30" s="214"/>
      <c r="E30" s="214"/>
      <c r="F30" s="214"/>
      <c r="G30" s="214"/>
      <c r="H30" s="215"/>
    </row>
    <row r="31" ht="15" customHeight="1">
      <c r="A31" s="236"/>
      <c r="B31" s="237"/>
      <c r="C31" s="237"/>
      <c r="D31" s="237"/>
      <c r="E31" s="237"/>
      <c r="F31" s="237"/>
      <c r="G31" s="237"/>
      <c r="H31" s="238"/>
    </row>
    <row r="34" ht="24" customHeight="1">
      <c r="A34" t="str" s="202">
        <v>Capital, resident revenue, and reconciliation</v>
      </c>
      <c r="B34" s="203"/>
      <c r="C34" s="203"/>
      <c r="D34" s="203"/>
      <c r="E34" s="203"/>
      <c r="F34" s="203"/>
      <c r="G34" s="203"/>
      <c r="H34" s="203"/>
    </row>
    <row r="35" ht="25" customHeight="1">
      <c r="A35" t="str" s="204">
        <v>Capital development</v>
      </c>
      <c r="B35" s="201"/>
      <c r="C35" t="n" s="205">
        <f>'Capital vs Operating'!C10</f>
        <v>21300000</v>
      </c>
      <c r="E35" t="str" s="207">
        <v>Calculation checks</v>
      </c>
      <c r="F35" s="207"/>
      <c r="G35" t="str" s="208">
        <f>'Monthly Budget'!B76</f>
        <v>PASS</v>
      </c>
    </row>
    <row r="36" ht="25" customHeight="1">
      <c r="A36" t="str" s="204">
        <v>Initial operating reserve</v>
      </c>
      <c r="B36" s="201"/>
      <c r="C36" t="n" s="205">
        <f>'Capital vs Operating'!C11</f>
        <v>1000000</v>
      </c>
    </row>
    <row r="37" ht="25" customHeight="1">
      <c r="A37" t="str" s="204">
        <v>Combined capitalization</v>
      </c>
      <c r="B37" s="201"/>
      <c r="C37" t="n" s="205">
        <f>'Capital vs Operating'!C12</f>
        <v>22300000</v>
      </c>
      <c r="E37" t="str" s="201">
        <v>Professional validation</v>
      </c>
      <c r="F37" s="201"/>
      <c r="G37" t="str" s="208">
        <v>Pending</v>
      </c>
    </row>
    <row r="38" ht="25" customHeight="1">
      <c r="A38" t="str" s="204">
        <v>Resident revenue / month</v>
      </c>
      <c r="B38" s="201"/>
      <c r="C38" t="n" s="205">
        <f>'Monthly Budget'!B38</f>
        <v>5000</v>
      </c>
      <c r="E38" t="str" s="209">
        <v>Capital scope questions: Assumptions rows 75–82.</v>
      </c>
      <c r="F38" s="209"/>
      <c r="G38" s="209"/>
      <c r="H38" s="209"/>
    </row>
    <row r="39" ht="25" customHeight="1">
      <c r="A39" t="str" s="204">
        <v>Funding needed / month</v>
      </c>
      <c r="B39" s="201"/>
      <c r="C39" t="n" s="205">
        <f>'Monthly Budget'!B39</f>
        <v>39109.2</v>
      </c>
      <c r="E39" t="str" s="209">
        <v>Input changes: Assumptions only.</v>
      </c>
      <c r="F39" s="209"/>
      <c r="G39" s="209"/>
      <c r="H39" s="209"/>
    </row>
    <row r="40" ht="25" customHeight="1">
      <c r="A40" t="str" s="204">
        <v>Reserve months (gross)</v>
      </c>
      <c r="B40" s="201"/>
      <c r="C40" t="n" s="206">
        <f>'Monthly Budget'!B41</f>
        <v>22.671007408885224</v>
      </c>
      <c r="E40" t="str" s="209">
        <v>Funding gap is not a complete cash-flow forecast.</v>
      </c>
      <c r="F40" s="209"/>
      <c r="G40" s="209"/>
      <c r="H40" s="209"/>
    </row>
  </sheetData>
  <sheetProtection sheet="1" objects="1" scenarios="1" formatCells="1" formatColumns="0" formatRows="0" insertColumns="1" insertRows="1" deleteColumns="1" deleteRows="1" selectLockedCells="0" selectUnlockedCells="0" sort="1" autoFilter="0"/>
  <mergeCells count="21">
    <mergeCell ref="A1:H1"/>
    <mergeCell ref="A5:B7"/>
    <mergeCell ref="C5:D7"/>
    <mergeCell ref="E5:F7"/>
    <mergeCell ref="G5:H7"/>
    <mergeCell ref="A9:B11"/>
    <mergeCell ref="C9:D11"/>
    <mergeCell ref="E9:F11"/>
    <mergeCell ref="G9:H11"/>
    <mergeCell ref="A34:H34"/>
    <mergeCell ref="A35:B35"/>
    <mergeCell ref="A36:B36"/>
    <mergeCell ref="A37:B37"/>
    <mergeCell ref="A38:B38"/>
    <mergeCell ref="A39:B39"/>
    <mergeCell ref="A40:B40"/>
    <mergeCell ref="E35:F35"/>
    <mergeCell ref="E37:F37"/>
    <mergeCell ref="E38:H38"/>
    <mergeCell ref="E39:H39"/>
    <mergeCell ref="E40:H40"/>
  </mergeCells>
  <conditionalFormatting sqref="F3 B15:D17">
    <cfRule type="cellIs" dxfId="0" priority="1" operator="lessThan" stopIfTrue="1">
      <formula>0</formula>
    </cfRule>
  </conditionalFormatting>
  <pageMargins left="0.75" right="0.75" top="1" bottom="1" header="0.511806" footer="0.511806"/>
  <pageSetup firstPageNumber="1" fitToHeight="1" fitToWidth="1" scale="100" useFirstPageNumber="0" orientation="portrait" pageOrder="downThenOver"/>
  <headerFoot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dimension ref="A1:F121"/>
  <sheetViews>
    <sheetView workbookViewId="0" showGridLines="0" defaultGridColor="1"/>
  </sheetViews>
  <sheetFormatPr defaultColWidth="8.83333" defaultRowHeight="15" customHeight="1" outlineLevelRow="0" outlineLevelCol="0"/>
  <cols>
    <col min="1" max="1" width="34.1719" style="65" customWidth="1"/>
    <col min="2" max="2" width="22.5" style="65" customWidth="1"/>
    <col min="3" max="3" width="32" style="65" customWidth="1"/>
    <col min="4" max="6" width="14.1719" style="65" customWidth="1"/>
    <col min="7" max="16384" width="8.85156" style="65" customWidth="1"/>
  </cols>
  <sheetData>
    <row r="1" ht="27.75" customHeight="1">
      <c r="A1" t="s" s="210">
        <v>161</v>
      </c>
      <c r="B1" s="211"/>
      <c r="C1" s="211"/>
      <c r="D1" s="211"/>
      <c r="E1" s="211"/>
      <c r="F1" s="212"/>
    </row>
    <row r="2" ht="20" customHeight="1">
      <c r="A2" s="213"/>
      <c r="B2" s="214"/>
      <c r="C2" s="214"/>
      <c r="D2" s="214"/>
      <c r="E2" s="214"/>
      <c r="F2" s="215"/>
    </row>
    <row r="3" ht="20" customHeight="1">
      <c r="A3" t="s" s="202">
        <v>162</v>
      </c>
      <c r="B3" t="s" s="203">
        <v>163</v>
      </c>
      <c r="C3" t="s" s="203">
        <v>164</v>
      </c>
      <c r="D3" s="259"/>
      <c r="E3" s="259"/>
      <c r="F3" s="260"/>
    </row>
    <row r="4" ht="20" customHeight="1">
      <c r="A4" t="s" s="239">
        <v>138</v>
      </c>
      <c r="B4" t="s" s="261">
        <v>158</v>
      </c>
      <c r="C4" t="s" s="240">
        <v>165</v>
      </c>
      <c r="D4" s="259"/>
      <c r="E4" s="259"/>
      <c r="F4" s="260"/>
    </row>
    <row r="5" ht="20" customHeight="1">
      <c r="A5" t="s" s="239">
        <v>99</v>
      </c>
      <c r="B5" t="s" s="261">
        <v>153</v>
      </c>
      <c r="C5" t="s" s="240">
        <v>166</v>
      </c>
      <c r="D5" s="259"/>
      <c r="E5" s="259"/>
      <c r="F5" s="260"/>
    </row>
    <row r="6" ht="20" customHeight="1">
      <c r="A6" s="239" t="str">
        <v>Available beds</v>
      </c>
      <c r="B6" s="242">
        <v>30</v>
      </c>
      <c r="C6" t="s" s="240">
        <v>167</v>
      </c>
      <c r="D6" s="259"/>
      <c r="E6" s="259"/>
      <c r="F6" s="260"/>
    </row>
    <row r="7" ht="20" customHeight="1">
      <c r="A7" s="239" t="str">
        <v>Resident Veterans</v>
      </c>
      <c r="B7" s="262">
        <v>10</v>
      </c>
      <c r="C7" s="240" t="str">
        <v>residents / occupied beds (one bed each)</v>
      </c>
      <c r="D7" s="259"/>
      <c r="E7" s="259"/>
      <c r="F7" s="260"/>
    </row>
    <row r="8" ht="20" customHeight="1">
      <c r="A8" t="s" s="239">
        <v>169</v>
      </c>
      <c r="B8" s="242">
        <v>30</v>
      </c>
      <c r="C8" s="240" t="str">
        <v>annual Veterans served; separate from occupancy</v>
      </c>
      <c r="D8" s="259"/>
      <c r="E8" s="259"/>
      <c r="F8" s="260"/>
    </row>
    <row r="9" ht="20" customHeight="1">
      <c r="A9" t="s" s="239">
        <v>171</v>
      </c>
      <c r="B9" s="244">
        <v>0.15</v>
      </c>
      <c r="C9" t="s" s="240">
        <v>172</v>
      </c>
      <c r="D9" s="259"/>
      <c r="E9" s="259"/>
      <c r="F9" s="260"/>
    </row>
    <row r="10" ht="20" customHeight="1">
      <c r="A10" t="s" s="239">
        <v>173</v>
      </c>
      <c r="B10" s="244">
        <v>1.75</v>
      </c>
      <c r="C10" t="s" s="240">
        <v>174</v>
      </c>
      <c r="D10" s="259"/>
      <c r="E10" s="259"/>
      <c r="F10" s="260"/>
    </row>
    <row r="11" ht="20" customHeight="1">
      <c r="A11" t="s" s="239">
        <v>175</v>
      </c>
      <c r="B11" s="244">
        <v>2.94</v>
      </c>
      <c r="C11" t="s" s="240">
        <v>176</v>
      </c>
      <c r="D11" s="259"/>
      <c r="E11" s="259"/>
      <c r="F11" s="260"/>
    </row>
    <row r="12" ht="20" customHeight="1">
      <c r="A12" t="s" s="239">
        <v>177</v>
      </c>
      <c r="B12" s="263">
        <v>0.03</v>
      </c>
      <c r="C12" t="s" s="240">
        <v>178</v>
      </c>
      <c r="D12" s="259"/>
      <c r="E12" s="259"/>
      <c r="F12" s="260"/>
    </row>
    <row r="13" ht="20" customHeight="1">
      <c r="A13" s="264"/>
      <c r="B13" s="259"/>
      <c r="C13" s="259"/>
      <c r="D13" s="259"/>
      <c r="E13" s="259"/>
      <c r="F13" s="260"/>
    </row>
    <row r="14" ht="20" customHeight="1">
      <c r="A14" s="264"/>
      <c r="B14" s="259"/>
      <c r="C14" s="259"/>
      <c r="D14" s="259"/>
      <c r="E14" s="259"/>
      <c r="F14" s="260"/>
    </row>
    <row r="15" ht="20" customHeight="1">
      <c r="A15" t="s" s="202">
        <v>179</v>
      </c>
      <c r="B15" t="s" s="203">
        <v>180</v>
      </c>
      <c r="C15" t="s" s="203">
        <v>153</v>
      </c>
      <c r="D15" t="s" s="203">
        <v>154</v>
      </c>
      <c r="E15" t="s" s="203">
        <v>155</v>
      </c>
      <c r="F15" s="260"/>
    </row>
    <row r="16" ht="20" customHeight="1">
      <c r="A16" t="s" s="234">
        <v>181</v>
      </c>
      <c r="B16" t="s" s="240">
        <v>182</v>
      </c>
      <c r="C16" s="265">
        <v>18500</v>
      </c>
      <c r="D16" s="265">
        <v>18501</v>
      </c>
      <c r="E16" s="265">
        <v>18502</v>
      </c>
      <c r="F16" s="260"/>
    </row>
    <row r="17" ht="20" customHeight="1">
      <c r="A17" t="s" s="234">
        <v>183</v>
      </c>
      <c r="B17" t="s" s="240">
        <v>182</v>
      </c>
      <c r="C17" s="265">
        <v>15500</v>
      </c>
      <c r="D17" s="265">
        <v>17500</v>
      </c>
      <c r="E17" s="265">
        <v>20000</v>
      </c>
      <c r="F17" s="260"/>
    </row>
    <row r="18" ht="20" customHeight="1">
      <c r="A18" t="s" s="234">
        <v>184</v>
      </c>
      <c r="B18" t="s" s="240">
        <v>185</v>
      </c>
      <c r="C18" s="242" t="n">
        <v>300</v>
      </c>
      <c r="D18" s="242" t="n">
        <v>450</v>
      </c>
      <c r="E18" s="242" t="n">
        <v>600</v>
      </c>
      <c r="F18" s="260"/>
    </row>
    <row r="19" ht="20" customHeight="1">
      <c r="A19" t="s" s="234">
        <v>186</v>
      </c>
      <c r="B19" t="s" s="240">
        <v>187</v>
      </c>
      <c r="C19" s="242" t="n">
        <v>330</v>
      </c>
      <c r="D19" s="242" t="n">
        <v>500</v>
      </c>
      <c r="E19" s="242" t="n">
        <v>650</v>
      </c>
      <c r="F19" s="260"/>
    </row>
    <row r="20" ht="20" customHeight="1">
      <c r="A20" t="s" s="234">
        <v>188</v>
      </c>
      <c r="B20" t="s" s="240">
        <v>189</v>
      </c>
      <c r="C20" s="266">
        <v>250</v>
      </c>
      <c r="D20" s="266">
        <v>400</v>
      </c>
      <c r="E20" s="266">
        <v>500</v>
      </c>
      <c r="F20" s="260"/>
    </row>
    <row r="21" ht="20" customHeight="1">
      <c r="A21" t="s" s="234">
        <v>190</v>
      </c>
      <c r="B21" t="s" s="240">
        <v>189</v>
      </c>
      <c r="C21" s="266">
        <v>300</v>
      </c>
      <c r="D21" s="266">
        <v>500</v>
      </c>
      <c r="E21" s="266">
        <v>1000</v>
      </c>
      <c r="F21" s="260"/>
    </row>
    <row r="22" ht="20" customHeight="1">
      <c r="A22" t="s" s="234">
        <v>191</v>
      </c>
      <c r="B22" t="s" s="240">
        <v>189</v>
      </c>
      <c r="C22" s="266">
        <v>301</v>
      </c>
      <c r="D22" s="266">
        <v>451</v>
      </c>
      <c r="E22" s="266">
        <v>601</v>
      </c>
      <c r="F22" s="260"/>
    </row>
    <row r="23" ht="20" customHeight="1">
      <c r="A23" t="s" s="234">
        <v>192</v>
      </c>
      <c r="B23" t="s" s="240">
        <v>189</v>
      </c>
      <c r="C23" s="266">
        <v>331</v>
      </c>
      <c r="D23" s="266">
        <v>501</v>
      </c>
      <c r="E23" s="266">
        <v>651</v>
      </c>
      <c r="F23" s="260"/>
    </row>
    <row r="24" ht="20" customHeight="1">
      <c r="A24" t="s" s="234">
        <v>193</v>
      </c>
      <c r="B24" t="s" s="240">
        <v>189</v>
      </c>
      <c r="C24" s="266">
        <v>500</v>
      </c>
      <c r="D24" s="266">
        <v>750</v>
      </c>
      <c r="E24" s="266">
        <v>1000</v>
      </c>
      <c r="F24" s="260"/>
    </row>
    <row r="25" ht="20" customHeight="1">
      <c r="A25" t="s" s="234">
        <v>194</v>
      </c>
      <c r="B25" t="s" s="240">
        <v>189</v>
      </c>
      <c r="C25" s="266">
        <v>200</v>
      </c>
      <c r="D25" s="266">
        <v>400</v>
      </c>
      <c r="E25" s="266">
        <v>600</v>
      </c>
      <c r="F25" s="260"/>
    </row>
    <row r="26" ht="20" customHeight="1">
      <c r="A26" t="s" s="234">
        <v>195</v>
      </c>
      <c r="B26" t="s" s="240">
        <v>189</v>
      </c>
      <c r="C26" s="266">
        <v>400</v>
      </c>
      <c r="D26" s="266">
        <v>600</v>
      </c>
      <c r="E26" s="266">
        <v>800</v>
      </c>
      <c r="F26" s="260"/>
    </row>
    <row r="27" ht="20" customHeight="1">
      <c r="A27" t="s" s="234">
        <v>196</v>
      </c>
      <c r="B27" t="s" s="240">
        <v>189</v>
      </c>
      <c r="C27" s="266">
        <v>332</v>
      </c>
      <c r="D27" s="266">
        <v>502</v>
      </c>
      <c r="E27" s="266">
        <v>652</v>
      </c>
      <c r="F27" s="260"/>
    </row>
    <row r="28" ht="20" customHeight="1">
      <c r="A28" t="s" s="234">
        <v>197</v>
      </c>
      <c r="B28" t="s" s="240">
        <v>189</v>
      </c>
      <c r="C28" s="266">
        <v>1000</v>
      </c>
      <c r="D28" s="266">
        <v>2000</v>
      </c>
      <c r="E28" s="266">
        <v>3000</v>
      </c>
      <c r="F28" s="260"/>
    </row>
    <row r="29" ht="20" customHeight="1">
      <c r="A29" t="s" s="202">
        <v>198</v>
      </c>
      <c r="B29" s="267">
        <v>0.2</v>
      </c>
      <c r="C29" t="s" s="203">
        <v>199</v>
      </c>
      <c r="D29" s="268"/>
      <c r="E29" s="268"/>
      <c r="F29" s="260"/>
    </row>
    <row r="30" ht="20" customHeight="1">
      <c r="A30" s="264"/>
      <c r="B30" s="259"/>
      <c r="C30" s="259"/>
      <c r="D30" s="259"/>
      <c r="E30" s="259"/>
      <c r="F30" s="260"/>
    </row>
    <row r="31" ht="38" customHeight="1">
      <c r="A31" s="241" t="str">
        <v>Yellow cells = approved inputs. Edit here only; schedules are linked. Pending quotes do not change totals.</v>
      </c>
      <c r="B31" s="269"/>
      <c r="C31" s="269"/>
      <c r="D31" s="269"/>
      <c r="E31" s="269"/>
      <c r="F31" s="270"/>
    </row>
    <row r="33" ht="24" customHeight="1">
      <c r="A33" t="str" s="202">
        <v>Resident payments, reserve, and physical quantities</v>
      </c>
      <c r="B33" s="203"/>
      <c r="C33" s="203"/>
      <c r="D33" s="203"/>
      <c r="E33" s="203"/>
      <c r="F33" s="203"/>
    </row>
    <row r="34" ht="34" customHeight="1">
      <c r="A34" t="str" s="243">
        <v>Resident payment / month</v>
      </c>
      <c r="B34" t="n" s="244">
        <v>500</v>
      </c>
      <c r="C34" t="str" s="209">
        <v>$/resident/month; accepted planning input</v>
      </c>
      <c r="D34" s="209"/>
      <c r="E34" s="209"/>
      <c r="F34" s="209"/>
    </row>
    <row r="35" ht="34" customHeight="1">
      <c r="A35" t="str" s="243">
        <v>Initial operating reserve</v>
      </c>
      <c r="B35" t="n" s="244">
        <v>1000000</v>
      </c>
      <c r="C35" t="str" s="209">
        <v>Separate from physical capital; not recurring income</v>
      </c>
      <c r="D35" s="209"/>
      <c r="E35" s="209"/>
      <c r="F35" s="209"/>
    </row>
    <row r="36" ht="34" customHeight="1">
      <c r="A36" t="str" s="243">
        <v>Residential units</v>
      </c>
      <c r="B36" t="n" s="242">
        <v>30</v>
      </c>
      <c r="C36" t="str" s="209">
        <v>homes in capital scope; independent of bed capacity</v>
      </c>
      <c r="D36" s="209"/>
      <c r="E36" s="209"/>
      <c r="F36" s="209"/>
    </row>
    <row r="37" ht="34" customHeight="1">
      <c r="A37" t="str" s="243">
        <v>Commercial washers</v>
      </c>
      <c r="B37" t="n" s="242">
        <v>8</v>
      </c>
      <c r="C37" t="str" s="209">
        <v>Within laundry / kitchen equipment allowance</v>
      </c>
      <c r="D37" s="209"/>
      <c r="E37" s="209"/>
      <c r="F37" s="209"/>
    </row>
    <row r="38" ht="34" customHeight="1">
      <c r="A38" t="str" s="243">
        <v>Dryers</v>
      </c>
      <c r="B38" t="n" s="242">
        <v>4</v>
      </c>
      <c r="C38" t="str" s="209">
        <v>Within laundry / kitchen equipment allowance</v>
      </c>
      <c r="D38" s="209"/>
      <c r="E38" s="209"/>
      <c r="F38" s="209"/>
    </row>
    <row r="39" ht="34" customHeight="1">
      <c r="A39" t="str" s="243">
        <v>Days per year</v>
      </c>
      <c r="B39" t="n" s="245">
        <v>365</v>
      </c>
      <c r="C39" t="str" s="209">
        <v>Fixed daily-cost convention; not an editable estimate</v>
      </c>
      <c r="D39" s="209"/>
      <c r="E39" s="209"/>
      <c r="F39" s="209"/>
    </row>
    <row r="40" ht="34" customHeight="1">
      <c r="A40" t="str" s="243">
        <v>Months per year</v>
      </c>
      <c r="B40" t="n" s="245">
        <v>12</v>
      </c>
      <c r="C40" t="str" s="209">
        <v>Fixed annualization convention</v>
      </c>
      <c r="D40" s="209"/>
      <c r="E40" s="209"/>
      <c r="F40" s="209"/>
    </row>
    <row r="41" ht="48" customHeight="1">
      <c r="A41" t="str" s="243">
        <v>Update rule</v>
      </c>
      <c r="B41" s="243"/>
      <c r="C41" t="str" s="209">
        <v>Only an accepted replacement belongs in an active input. Record pending quotes in the source log without changing active amounts.</v>
      </c>
      <c r="D41" s="209"/>
      <c r="E41" s="209"/>
      <c r="F41" s="209"/>
    </row>
    <row r="43" ht="24" customHeight="1">
      <c r="A43" t="str" s="202">
        <v>Staffing — approved inputs and calculated payroll</v>
      </c>
      <c r="B43" s="203"/>
      <c r="C43" s="203"/>
      <c r="D43" s="203"/>
      <c r="E43" s="203"/>
      <c r="F43" s="203"/>
    </row>
    <row r="44" ht="38" customHeight="1">
      <c r="A44" t="str" s="246">
        <v>Position</v>
      </c>
      <c r="B44" t="str" s="246">
        <v>Headcount</v>
      </c>
      <c r="C44" t="str" s="246">
        <v>Annual salary</v>
      </c>
      <c r="D44" t="str" s="246">
        <v>Base payroll</v>
      </c>
      <c r="E44" t="str" s="246">
        <v>Loaded / year</v>
      </c>
      <c r="F44" t="str" s="246">
        <v>Loaded / month</v>
      </c>
    </row>
    <row r="45" ht="34" customHeight="1">
      <c r="A45" t="str" s="247">
        <v>On-Site Managers</v>
      </c>
      <c r="B45" t="n" s="242">
        <v>2</v>
      </c>
      <c r="C45" t="n" s="248">
        <v>75000</v>
      </c>
      <c r="D45" t="n" s="249">
        <f>B45*C45</f>
        <v>150000</v>
      </c>
      <c r="E45" t="n" s="249">
        <f>D45*(1+$B$29)</f>
        <v>180000</v>
      </c>
      <c r="F45" t="n" s="249">
        <f>E45/$B$40</f>
        <v>15000</v>
      </c>
    </row>
    <row r="46" ht="34" customHeight="1">
      <c r="A46" t="str" s="247">
        <v>Chaplain / LPC</v>
      </c>
      <c r="B46" t="n" s="242">
        <v>1</v>
      </c>
      <c r="C46" t="n" s="248">
        <v>75000</v>
      </c>
      <c r="D46" t="n" s="249">
        <f>B46*C46</f>
        <v>75000</v>
      </c>
      <c r="E46" t="n" s="249">
        <f>D46*(1+$B$29)</f>
        <v>90000</v>
      </c>
      <c r="F46" t="n" s="249">
        <f>E46/$B$40</f>
        <v>7500</v>
      </c>
    </row>
    <row r="47" ht="34" customHeight="1">
      <c r="A47" t="str" s="247">
        <v>Mess Sergeant</v>
      </c>
      <c r="B47" t="n" s="242">
        <v>1</v>
      </c>
      <c r="C47" t="n" s="248">
        <v>50000</v>
      </c>
      <c r="D47" t="n" s="249">
        <f>B47*C47</f>
        <v>50000</v>
      </c>
      <c r="E47" t="n" s="249">
        <f>D47*(1+$B$29)</f>
        <v>60000</v>
      </c>
      <c r="F47" t="n" s="249">
        <f>E47/$B$40</f>
        <v>5000</v>
      </c>
    </row>
    <row r="48" ht="34" customHeight="1">
      <c r="A48" t="str" s="247">
        <v>Sous Chef</v>
      </c>
      <c r="B48" t="n" s="242">
        <v>1</v>
      </c>
      <c r="C48" t="n" s="248">
        <v>25000</v>
      </c>
      <c r="D48" t="n" s="249">
        <f>B48*C48</f>
        <v>25000</v>
      </c>
      <c r="E48" t="n" s="249">
        <f>D48*(1+$B$29)</f>
        <v>30000</v>
      </c>
      <c r="F48" t="n" s="249">
        <f>E48/$B$40</f>
        <v>2500</v>
      </c>
    </row>
    <row r="49" ht="34" customHeight="1">
      <c r="A49" t="str" s="247">
        <v>Kitchen Labor</v>
      </c>
      <c r="B49" t="n" s="242">
        <v>1</v>
      </c>
      <c r="C49" t="n" s="248">
        <v>18000</v>
      </c>
      <c r="D49" t="n" s="249">
        <f>B49*C49</f>
        <v>18000</v>
      </c>
      <c r="E49" t="n" s="249">
        <f>D49*(1+$B$29)</f>
        <v>21600</v>
      </c>
      <c r="F49" t="n" s="249">
        <f>E49/$B$40</f>
        <v>1800</v>
      </c>
    </row>
    <row r="50" ht="34" customHeight="1">
      <c r="A50" t="str" s="247">
        <v>Property Management Labor</v>
      </c>
      <c r="B50" t="n" s="242">
        <v>3</v>
      </c>
      <c r="C50" t="n" s="248">
        <v>18000</v>
      </c>
      <c r="D50" t="n" s="249">
        <f>B50*C50</f>
        <v>54000</v>
      </c>
      <c r="E50" t="n" s="249">
        <f>D50*(1+$B$29)</f>
        <v>64800</v>
      </c>
      <c r="F50" t="n" s="249">
        <f>E50/$B$40</f>
        <v>5400</v>
      </c>
    </row>
    <row r="51" ht="36" customHeight="1">
      <c r="A51" t="str" s="250">
        <v>TOTAL STAFF / PAYROLL</v>
      </c>
      <c r="B51" t="n" s="251">
        <f>SUM(B45:B50)</f>
        <v>9</v>
      </c>
      <c r="C51" s="252"/>
      <c r="D51" t="n" s="252">
        <f>SUM(D45:D50)</f>
        <v>372000</v>
      </c>
      <c r="E51" t="n" s="252">
        <f>SUM(E45:E50)</f>
        <v>446400</v>
      </c>
      <c r="F51" t="n" s="252">
        <f>SUM(F45:F50)</f>
        <v>37200</v>
      </c>
    </row>
    <row r="53" ht="24" customHeight="1">
      <c r="A53" t="str" s="202">
        <v>Capital allowances — approved baseline, not locked totals</v>
      </c>
      <c r="B53" s="203"/>
      <c r="C53" s="203"/>
      <c r="D53" s="203"/>
      <c r="E53" s="203"/>
      <c r="F53" s="203"/>
    </row>
    <row r="54" ht="24" customHeight="1">
      <c r="A54" t="str" s="203">
        <v>Capital category</v>
      </c>
      <c r="B54" t="str" s="203">
        <v>Low</v>
      </c>
      <c r="C54" t="str" s="203">
        <v>Expected</v>
      </c>
      <c r="D54" t="str" s="203">
        <v>High</v>
      </c>
      <c r="E54" t="str" s="203">
        <v>Status</v>
      </c>
      <c r="F54" t="str" s="203"/>
    </row>
    <row r="55" ht="40" customHeight="1">
      <c r="A55" t="str" s="253">
        <v>Residential units</v>
      </c>
      <c r="B55" t="n" s="248">
        <v>4500000</v>
      </c>
      <c r="C55" t="n" s="248">
        <v>5000000</v>
      </c>
      <c r="D55" t="n" s="248">
        <v>5500000</v>
      </c>
      <c r="E55" t="str" s="209">
        <v>Approved planning estimate</v>
      </c>
      <c r="F55" s="209"/>
    </row>
    <row r="56" ht="40" customHeight="1">
      <c r="A56" t="str" s="253">
        <v>Command Center / Mess Hall</v>
      </c>
      <c r="B56" t="n" s="248">
        <v>4000000</v>
      </c>
      <c r="C56" t="n" s="248">
        <v>4500000</v>
      </c>
      <c r="D56" t="n" s="248">
        <v>5000000</v>
      </c>
      <c r="E56" t="str" s="209">
        <v>Approved planning estimate</v>
      </c>
      <c r="F56" s="209"/>
    </row>
    <row r="57" ht="62" customHeight="1">
      <c r="A57" t="str" s="253">
        <v>Laundry, Kitchen, and Logistics Equipment</v>
      </c>
      <c r="B57" t="n" s="248">
        <v>750000</v>
      </c>
      <c r="C57" t="n" s="248">
        <v>1000000</v>
      </c>
      <c r="D57" t="n" s="248">
        <v>1250000</v>
      </c>
      <c r="E57" t="str" s="209">
        <v>Approved planning estimate</v>
      </c>
      <c r="F57" s="209"/>
    </row>
    <row r="58" ht="40" customHeight="1">
      <c r="A58" t="str" s="253">
        <v>Infrastructure &amp; Site Work</v>
      </c>
      <c r="B58" t="n" s="248">
        <v>3500000</v>
      </c>
      <c r="C58" t="n" s="248">
        <v>4500000</v>
      </c>
      <c r="D58" t="n" s="248">
        <v>5500000</v>
      </c>
      <c r="E58" t="str" s="209">
        <v>Approved planning estimate</v>
      </c>
      <c r="F58" s="209"/>
    </row>
    <row r="59" ht="40" customHeight="1">
      <c r="A59" s="253" t="str">
        <v>Solar / Microgrid</v>
      </c>
      <c r="B59" t="n" s="248">
        <v>1800000</v>
      </c>
      <c r="C59" s="248" t="n">
        <v>3000000</v>
      </c>
      <c r="D59" t="n" s="248">
        <v>2300000</v>
      </c>
      <c r="E59" s="209" t="str">
        <v>Provisional; see scope below</v>
      </c>
      <c r="F59" s="209"/>
    </row>
    <row r="60" ht="40" customHeight="1">
      <c r="A60" t="str" s="253">
        <v>Water Reclamation</v>
      </c>
      <c r="B60" t="n" s="248">
        <v>2000000</v>
      </c>
      <c r="C60" t="n" s="248">
        <v>3300000</v>
      </c>
      <c r="D60" t="n" s="248">
        <v>4000000</v>
      </c>
      <c r="E60" t="str" s="209">
        <v>Approved planning estimate</v>
      </c>
      <c r="F60" s="209"/>
    </row>
    <row r="61" ht="34" customHeight="1">
      <c r="A61" t="str" s="254">
        <v>TOTAL CAPITAL</v>
      </c>
      <c r="B61" t="n" s="255">
        <f>SUM(B55:B60)</f>
        <v>16550000</v>
      </c>
      <c r="C61" t="n" s="255">
        <f>SUM(C55:C60)</f>
        <v>21300000</v>
      </c>
      <c r="D61" t="n" s="255">
        <f>SUM(D55:D60)</f>
        <v>23550000</v>
      </c>
    </row>
    <row r="62" ht="28" customHeight="1">
      <c r="A62" t="str" s="239">
        <v>Initial operating reserve</v>
      </c>
      <c r="C62" t="n" s="256">
        <f>B35</f>
        <v>1000000</v>
      </c>
    </row>
    <row r="63" ht="38" customHeight="1">
      <c r="A63" t="str" s="254">
        <v>COMBINED CAPITALIZATION</v>
      </c>
      <c r="C63" t="n" s="256">
        <f>C61+C62</f>
        <v>22300000</v>
      </c>
    </row>
    <row r="65" ht="24" customHeight="1">
      <c r="A65" t="str" s="202">
        <v>Capital scope — included, excluded, and limits</v>
      </c>
      <c r="B65" s="203"/>
      <c r="C65" s="203"/>
      <c r="D65" s="203"/>
      <c r="E65" s="203"/>
      <c r="F65" s="203"/>
    </row>
    <row r="67" ht="104" customHeight="1">
      <c r="A67" t="str" s="243">
        <v>Residential allowance</v>
      </c>
      <c r="B67" s="243"/>
      <c r="C67" t="str" s="209">
        <v>INCLUDED: current allowance for the residential units counted at B36. EXCLUDED by management direction: plumbing serving the homes, assigned to site infrastructure. CONFIRM: furniture, design fees and remaining fit-out scope.</v>
      </c>
      <c r="D67" s="209"/>
      <c r="E67" s="209"/>
      <c r="F67" s="209"/>
    </row>
    <row r="68" ht="104" customHeight="1">
      <c r="A68" t="str" s="243">
        <v>Command Center / Mess Hall</v>
      </c>
      <c r="B68" s="243"/>
      <c r="C68" t="str" s="209">
        <v>INCLUDED: approximately 10,000 sq ft building and built-in systems; laundry is inside. EXCLUDED: laundry/kitchen equipment and its installation (separate allowance); serving plumbing (site). CONFIRM building/equipment interface.</v>
      </c>
      <c r="D68" s="209"/>
      <c r="E68" s="209"/>
      <c r="F68" s="209"/>
    </row>
    <row r="69" ht="104" customHeight="1">
      <c r="A69" t="str" s="243">
        <v>Laundry / kitchen / logistics</v>
      </c>
      <c r="B69" s="243"/>
      <c r="C69" t="str" s="209">
        <f> "INCLUDED: "&amp;B37&amp;" commercial washers, "&amp;B38&amp;" dryers, kitchen equipment and related installation inside the Command Center. EXCLUDED: a second laundry building. CONFIRM equipment specifications and service-connection boundary; counts do not automatically reprice this lump-sum allowance."</f>
        <v>INCLUDED: 8 commercial washers, 4 dryers, kitchen equipment and related installation inside the Command Center. EXCLUDED: a second laundry building. CONFIRM equipment specifications and service-connection boundary; counts do not automatically reprice this lump-sum allowance.</v>
      </c>
      <c r="D69" s="209"/>
      <c r="E69" s="209"/>
      <c r="F69" s="209"/>
    </row>
    <row r="70" ht="104" customHeight="1">
      <c r="A70" t="str" s="243">
        <v>Infrastructure &amp; Site Work</v>
      </c>
      <c r="B70" s="243"/>
      <c r="C70" t="str" s="209">
        <v>INCLUDED by direction: plumbing and piping serving homes and Command Center, including interior plumbing and site connections. Base Village electrical infrastructure is separate from solar/storage. CONFIRM well/storage assignments and installation boundaries.</v>
      </c>
      <c r="D70" s="209"/>
      <c r="E70" s="209"/>
      <c r="F70" s="209"/>
    </row>
    <row r="71" ht="104" customHeight="1">
      <c r="A71" s="243" t="str">
        <v>Solar / Microgrid</v>
      </c>
      <c r="B71" s="243"/>
      <c r="C71" s="209" t="str">
        <v>INCLUDED: solar for operation/recharge, batteries, inverters, controls, islanding, protection/switchgear, emergency propane generation/integration, system engineering, installation, commissioning and applicable interconnection. Basis: 30 homes and full shared campus. 500 kW DC is a comparison, not final sizing or a ceiling. No income-producing solar farm; no incentive/export offsets.</v>
      </c>
      <c r="D71" s="209"/>
      <c r="E71" s="209"/>
      <c r="F71" s="209"/>
    </row>
    <row r="72" ht="104" customHeight="1">
      <c r="A72" t="str" s="243">
        <v>Water Reclamation</v>
      </c>
      <c r="B72" s="243"/>
      <c r="C72" t="str" s="209">
        <v>INCLUDED: treatment/reclamation apparatus and integral process equipment. EXCLUDED: plumbing/piping serving homes and Command Center (site infrastructure). CONFIRM tanks, process piping, pumps, controls and supply-water boundaries.</v>
      </c>
      <c r="D72" s="209"/>
      <c r="E72" s="209"/>
      <c r="F72" s="209"/>
    </row>
    <row r="74" ht="24" customHeight="1">
      <c r="A74" t="str" s="202">
        <v>Scope to confirm — no invented allocations</v>
      </c>
      <c r="B74" s="203"/>
      <c r="C74" s="203"/>
      <c r="D74" s="203"/>
      <c r="E74" s="203"/>
      <c r="F74" s="203"/>
    </row>
    <row r="75" ht="82" customHeight="1">
      <c r="A75" t="str" s="243">
        <v>Well / storage / supply</v>
      </c>
      <c r="B75" s="243"/>
      <c r="C75" t="str" s="209">
        <v>New well, storage and supply equipment have no confirmed allocation in this six-line model. Responsible professionals must assign scope within an existing allowance or recommend an approved change.</v>
      </c>
      <c r="D75" s="209"/>
      <c r="E75" s="209"/>
      <c r="F75" s="209"/>
    </row>
    <row r="76" ht="82" customHeight="1">
      <c r="A76" t="str" s="243">
        <v>Connection boundaries</v>
      </c>
      <c r="B76" s="243"/>
      <c r="C76" s="209" t="str">
        <v>Site covers serving plumbing; reclamation covers process piping. Confirm equipment handoffs. For microgrid: resolve campus service/distribution, transformers, building electrical, generator fuel works, grading/trenching and interconnection upgrade boundaries. No overlap deduction is established.</v>
      </c>
      <c r="D76" s="209"/>
      <c r="E76" s="209"/>
      <c r="F76" s="209"/>
    </row>
    <row r="77" ht="82" customHeight="1">
      <c r="A77" t="str" s="243">
        <v>Professional / permitting</v>
      </c>
      <c r="B77" s="243"/>
      <c r="C77" s="209" t="str">
        <v>System-specific microgrid engineering is intended within C59. General design, surveys, permitting and project management remain unitemized. Confirm solar/general soft-cost boundaries before allocating; preserve other allowances pending scope review.</v>
      </c>
      <c r="D77" s="209"/>
      <c r="E77" s="209"/>
      <c r="F77" s="209"/>
    </row>
    <row r="78" ht="82" customHeight="1">
      <c r="A78" t="str" s="243">
        <v>Furniture / farm / enterprise</v>
      </c>
      <c r="B78" s="243"/>
      <c r="C78" t="str" s="209">
        <v>Furniture, farm/greenhouse, enterprise facilities and other equipment have no confirmed complete allocation. Identify the scope and its budget home before claiming full coverage.</v>
      </c>
      <c r="D78" s="209"/>
      <c r="E78" s="209"/>
      <c r="F78" s="209"/>
    </row>
    <row r="79" ht="82" customHeight="1">
      <c r="A79" t="str" s="243">
        <v>Contingency</v>
      </c>
      <c r="B79" s="243"/>
      <c r="C79" s="209" t="str">
        <v>Microgrid contingency is intended within C59, not additional to it; its amount/rate remains unitemized and needs approval. No separate project capital contingency is established. Do not invent amounts, treat potential savings as contingency, or count contingency twice.</v>
      </c>
      <c r="D79" s="209"/>
      <c r="E79" s="209"/>
      <c r="F79" s="209"/>
    </row>
    <row r="80" ht="82" customHeight="1">
      <c r="A80" t="str" s="243">
        <v>Escalation</v>
      </c>
      <c r="B80" s="243"/>
      <c r="C80" t="str" s="209">
        <v>No separate capital escalation amount or rate is established. The operating inflation input is not a capital escalation allowance. Future pricing requires timing and professional review.</v>
      </c>
      <c r="D80" s="209"/>
      <c r="E80" s="209"/>
      <c r="F80" s="209"/>
    </row>
    <row r="81" ht="82" customHeight="1">
      <c r="A81" t="str" s="243">
        <v>Commissioning / closeout</v>
      </c>
      <c r="B81" s="243"/>
      <c r="C81" s="209" t="str">
        <v>Microgrid installation and commissioning are intended within C59; confirm supplier scope and shared-work interfaces. Other project commissioning/closeout remains unitemized. Obtain component scope before claiming complete coverage or adding costs.</v>
      </c>
      <c r="D81" s="209"/>
      <c r="E81" s="209"/>
      <c r="F81" s="209"/>
    </row>
    <row r="82" ht="82" customHeight="1">
      <c r="A82" t="str" s="243">
        <v>Planning status</v>
      </c>
      <c r="B82" s="243"/>
      <c r="C82" s="209" t="str">
        <v>C59 is the Founder-approved provisional allowance, not a quotation or verified overrun. Solar B59/D59 remain historical comparisons pending revised ranges; they do not bound C59. Aggregate Low/High totals therefore are not a revised microgrid risk range. No offsets or unrelated reallocations made.</v>
      </c>
      <c r="D82" s="209"/>
      <c r="E82" s="209"/>
      <c r="F82" s="209"/>
    </row>
    <row r="84" ht="24" customHeight="1">
      <c r="A84" t="str" s="202">
        <v>Sources and acceptance log — pending notes do not drive totals</v>
      </c>
      <c r="B84" s="203"/>
      <c r="C84" s="203"/>
      <c r="D84" s="203"/>
      <c r="E84" s="203"/>
      <c r="F84" s="203"/>
    </row>
    <row r="85" ht="42" customHeight="1">
      <c r="A85" t="str" s="246">
        <v>Input / cells</v>
      </c>
      <c r="B85" t="str" s="246">
        <v>Source / pending note</v>
      </c>
      <c r="C85" t="str" s="246">
        <v>Date</v>
      </c>
      <c r="D85" t="str" s="246">
        <v>Committee / reviewer</v>
      </c>
      <c r="E85" t="str" s="246">
        <v>Status</v>
      </c>
      <c r="F85" t="str" s="246"/>
    </row>
    <row r="86" ht="100" customHeight="1">
      <c r="A86" t="str" s="243">
        <v>Fuel / scenario B4:B5</v>
      </c>
      <c r="B86" t="str" s="247">
        <v>Uploaded v1.5 selections; operating comparison controls.</v>
      </c>
      <c r="C86" s="257"/>
      <c r="D86" t="str" s="247">
        <v>Unassigned</v>
      </c>
      <c r="E86" t="str" s="247">
        <v>Current selection</v>
      </c>
      <c r="F86" s="258"/>
    </row>
    <row r="87" ht="100" customHeight="1">
      <c r="A87" t="str" s="243">
        <v>Beds / residents B6:B7</v>
      </c>
      <c r="B87" t="str" s="247">
        <v>Management-approved 30-bed / 10-resident baseline.</v>
      </c>
      <c r="C87" s="257"/>
      <c r="D87" t="str" s="247">
        <v>Unassigned</v>
      </c>
      <c r="E87" t="str" s="247">
        <v>Approved planning</v>
      </c>
      <c r="F87" s="258"/>
    </row>
    <row r="88" ht="100" customHeight="1">
      <c r="A88" t="str" s="243">
        <v>Annual served B8</v>
      </c>
      <c r="B88" t="str" s="247">
        <v>Uploaded v1.5 annual throughput; not simultaneous occupancy.</v>
      </c>
      <c r="C88" s="257"/>
      <c r="D88" t="str" s="247">
        <v>Unassigned</v>
      </c>
      <c r="E88" t="str" s="247">
        <v>Approved planning</v>
      </c>
      <c r="F88" s="258"/>
    </row>
    <row r="89" ht="100" customHeight="1">
      <c r="A89" t="str" s="243">
        <v>Electricity B9</v>
      </c>
      <c r="B89" t="str" s="247">
        <v>Founder confirms current rate of $0.15/kWh; $0.13 is historical.</v>
      </c>
      <c r="C89" s="257"/>
      <c r="D89" t="str" s="247">
        <v>Unassigned</v>
      </c>
      <c r="E89" t="str" s="247">
        <v>Approved planning</v>
      </c>
      <c r="F89" s="258"/>
    </row>
    <row r="90" ht="100" customHeight="1">
      <c r="A90" t="str" s="243">
        <v>Gas / propane B10:B11</v>
      </c>
      <c r="B90" t="str" s="247">
        <v>Uploaded v1.5; supplier validation pending.</v>
      </c>
      <c r="C90" s="257"/>
      <c r="D90" t="str" s="247">
        <v>Unassigned</v>
      </c>
      <c r="E90" t="str" s="247">
        <v>Approved planning</v>
      </c>
      <c r="F90" s="258"/>
    </row>
    <row r="91" ht="100" customHeight="1">
      <c r="A91" t="str" s="243">
        <v>Inflation B12</v>
      </c>
      <c r="B91" t="str" s="247">
        <v>Uploaded v1.5 operating projection assumption.</v>
      </c>
      <c r="C91" s="257"/>
      <c r="D91" t="str" s="247">
        <v>Unassigned</v>
      </c>
      <c r="E91" t="str" s="247">
        <v>Approved planning</v>
      </c>
      <c r="F91" s="258"/>
    </row>
    <row r="92" ht="100" customHeight="1">
      <c r="A92" t="str" s="243">
        <v>Electric Load — All-Electric C16:E16</v>
      </c>
      <c r="B92" t="str" s="247">
        <v>Uploaded v1.5 planning values retained; quotations/technical validation pending.</v>
      </c>
      <c r="C92" s="257"/>
      <c r="D92" t="str" s="247">
        <v>Unassigned</v>
      </c>
      <c r="E92" t="str" s="247">
        <v>Approved planning</v>
      </c>
      <c r="F92" s="258"/>
    </row>
    <row r="93" ht="100" customHeight="1">
      <c r="A93" t="str" s="243">
        <v>Electric Load — Mixed Fuel C17:E17</v>
      </c>
      <c r="B93" t="str" s="247">
        <v>Uploaded v1.5 planning values retained; quotations/technical validation pending.</v>
      </c>
      <c r="C93" s="257"/>
      <c r="D93" t="str" s="247">
        <v>Unassigned</v>
      </c>
      <c r="E93" t="str" s="247">
        <v>Approved planning</v>
      </c>
      <c r="F93" s="258"/>
    </row>
    <row r="94" ht="100" customHeight="1">
      <c r="A94" t="str" s="243">
        <v>Natural Gas Use C18:E18</v>
      </c>
      <c r="B94" t="str" s="247">
        <v>Uploaded v1.5 planning values retained; quotations/technical validation pending.</v>
      </c>
      <c r="C94" s="257"/>
      <c r="D94" t="str" s="247">
        <v>Unassigned</v>
      </c>
      <c r="E94" t="str" s="247">
        <v>Approved planning</v>
      </c>
      <c r="F94" s="258"/>
    </row>
    <row r="95" ht="100" customHeight="1">
      <c r="A95" t="str" s="243">
        <v>Propane Use C19:E19</v>
      </c>
      <c r="B95" t="str" s="247">
        <v>Uploaded v1.5 planning values retained; quotations/technical validation pending.</v>
      </c>
      <c r="C95" s="257"/>
      <c r="D95" t="str" s="247">
        <v>Unassigned</v>
      </c>
      <c r="E95" t="str" s="247">
        <v>Approved planning</v>
      </c>
      <c r="F95" s="258"/>
    </row>
    <row r="96" ht="100" customHeight="1">
      <c r="A96" t="str" s="243">
        <v>Internet C20:E20</v>
      </c>
      <c r="B96" t="str" s="247">
        <v>Uploaded v1.5 planning values retained; quotations/technical validation pending.</v>
      </c>
      <c r="C96" s="257"/>
      <c r="D96" t="str" s="247">
        <v>Unassigned</v>
      </c>
      <c r="E96" t="str" s="247">
        <v>Approved planning</v>
      </c>
      <c r="F96" s="258"/>
    </row>
    <row r="97" ht="100" customHeight="1">
      <c r="A97" t="str" s="243">
        <v>Well / Pump / Water Treatment C21:E21</v>
      </c>
      <c r="B97" t="str" s="247">
        <v>Uploaded v1.5 planning values retained; quotations/technical validation pending.</v>
      </c>
      <c r="C97" s="257"/>
      <c r="D97" t="str" s="247">
        <v>Unassigned</v>
      </c>
      <c r="E97" t="str" s="247">
        <v>Approved planning</v>
      </c>
      <c r="F97" s="258"/>
    </row>
    <row r="98" ht="100" customHeight="1">
      <c r="A98" t="str" s="243">
        <v>Waste / Recycling / Compost Haul C22:E22</v>
      </c>
      <c r="B98" t="str" s="247">
        <v>Uploaded v1.5 planning values retained; quotations/technical validation pending.</v>
      </c>
      <c r="C98" s="257"/>
      <c r="D98" t="str" s="247">
        <v>Unassigned</v>
      </c>
      <c r="E98" t="str" s="247">
        <v>Approved planning</v>
      </c>
      <c r="F98" s="258"/>
    </row>
    <row r="99" ht="100" customHeight="1">
      <c r="A99" t="str" s="243">
        <v>Grounds / Garden / Compost Inputs C23:E23</v>
      </c>
      <c r="B99" t="str" s="247">
        <v>Uploaded v1.5 planning values retained; quotations/technical validation pending.</v>
      </c>
      <c r="C99" s="257"/>
      <c r="D99" t="str" s="247">
        <v>Unassigned</v>
      </c>
      <c r="E99" t="str" s="247">
        <v>Approved planning</v>
      </c>
      <c r="F99" s="258"/>
    </row>
    <row r="100" ht="100" customHeight="1">
      <c r="A100" t="str" s="243">
        <v>Cleaning / Paper / Consumables C24:E24</v>
      </c>
      <c r="B100" t="str" s="247">
        <v>Uploaded v1.5 planning values retained; quotations/technical validation pending.</v>
      </c>
      <c r="C100" s="257"/>
      <c r="D100" t="str" s="247">
        <v>Unassigned</v>
      </c>
      <c r="E100" t="str" s="247">
        <v>Approved planning</v>
      </c>
      <c r="F100" s="258"/>
    </row>
    <row r="101" ht="100" customHeight="1">
      <c r="A101" t="str" s="243">
        <v>Security / Monitoring C25:E25</v>
      </c>
      <c r="B101" t="str" s="247">
        <v>Uploaded v1.5 planning values retained; quotations/technical validation pending.</v>
      </c>
      <c r="C101" s="257"/>
      <c r="D101" t="str" s="247">
        <v>Unassigned</v>
      </c>
      <c r="E101" t="str" s="247">
        <v>Approved planning</v>
      </c>
      <c r="F101" s="258"/>
    </row>
    <row r="102" ht="100" customHeight="1">
      <c r="A102" t="str" s="243">
        <v>Maintenance Reserve C26:E26</v>
      </c>
      <c r="B102" t="str" s="247">
        <v>Uploaded v1.5 planning values retained; quotations/technical validation pending.</v>
      </c>
      <c r="C102" s="257"/>
      <c r="D102" t="str" s="247">
        <v>Unassigned</v>
      </c>
      <c r="E102" t="str" s="247">
        <v>Approved planning</v>
      </c>
      <c r="F102" s="258"/>
    </row>
    <row r="103" ht="100" customHeight="1">
      <c r="A103" t="str" s="243">
        <v>Admin / Office Supplies C27:E27</v>
      </c>
      <c r="B103" t="str" s="247">
        <v>Uploaded v1.5 planning values retained; quotations/technical validation pending.</v>
      </c>
      <c r="C103" s="257"/>
      <c r="D103" t="str" s="247">
        <v>Unassigned</v>
      </c>
      <c r="E103" t="str" s="247">
        <v>Approved planning</v>
      </c>
      <c r="F103" s="258"/>
    </row>
    <row r="104" ht="100" customHeight="1">
      <c r="A104" t="str" s="243">
        <v>Misc. Contingency C28:E28</v>
      </c>
      <c r="B104" t="str" s="247">
        <v>Uploaded v1.5 planning values retained; quotations/technical validation pending.</v>
      </c>
      <c r="C104" s="257"/>
      <c r="D104" t="str" s="247">
        <v>Unassigned</v>
      </c>
      <c r="E104" t="str" s="247">
        <v>Approved planning</v>
      </c>
      <c r="F104" s="258"/>
    </row>
    <row r="105" ht="100" customHeight="1">
      <c r="A105" t="str" s="243">
        <v>Payroll burden B29</v>
      </c>
      <c r="B105" t="str" s="247">
        <v>Uploaded v1.5 planning input; CPA/benefit validation pending.</v>
      </c>
      <c r="C105" s="257"/>
      <c r="D105" t="str" s="247">
        <v>Unassigned</v>
      </c>
      <c r="E105" t="str" s="247">
        <v>Approved planning</v>
      </c>
      <c r="F105" s="258"/>
    </row>
    <row r="106" ht="100" customHeight="1">
      <c r="A106" t="str" s="243">
        <v>Payment / reserve B34:B35</v>
      </c>
      <c r="B106" t="str" s="247">
        <v>Management-approved resident payment and separate operating reserve.</v>
      </c>
      <c r="C106" s="257"/>
      <c r="D106" t="str" s="247">
        <v>Unassigned</v>
      </c>
      <c r="E106" t="str" s="247">
        <v>Approved planning</v>
      </c>
      <c r="F106" s="258"/>
    </row>
    <row r="107" ht="100" customHeight="1">
      <c r="A107" t="str" s="243">
        <v>Homes / machines B36:B38</v>
      </c>
      <c r="B107" t="str" s="247">
        <v>Current capital scope and accepted laundry counts; machine quotes pending.</v>
      </c>
      <c r="C107" s="257"/>
      <c r="D107" t="str" s="247">
        <v>Unassigned</v>
      </c>
      <c r="E107" t="str" s="247">
        <v>Approved planning</v>
      </c>
      <c r="F107" s="258"/>
    </row>
    <row r="108" ht="100" customHeight="1">
      <c r="A108" t="str" s="243">
        <v>On-Site Managers A45:C45</v>
      </c>
      <c r="B108" t="str" s="247">
        <v>Uploaded v1.5 staffing assumptions; no new positions or compensation added.</v>
      </c>
      <c r="C108" s="257"/>
      <c r="D108" t="str" s="247">
        <v>Unassigned</v>
      </c>
      <c r="E108" t="str" s="247">
        <v>Approved planning</v>
      </c>
      <c r="F108" s="258"/>
    </row>
    <row r="109" ht="100" customHeight="1">
      <c r="A109" t="str" s="243">
        <v>Chaplain / LPC A46:C46</v>
      </c>
      <c r="B109" t="str" s="247">
        <v>Uploaded v1.5 staffing assumptions; no new positions or compensation added.</v>
      </c>
      <c r="C109" s="257"/>
      <c r="D109" t="str" s="247">
        <v>Unassigned</v>
      </c>
      <c r="E109" t="str" s="247">
        <v>Approved planning</v>
      </c>
      <c r="F109" s="258"/>
    </row>
    <row r="110" ht="100" customHeight="1">
      <c r="A110" t="str" s="243">
        <v>Mess Sergeant A47:C47</v>
      </c>
      <c r="B110" t="str" s="247">
        <v>Uploaded v1.5 staffing assumptions; no new positions or compensation added.</v>
      </c>
      <c r="C110" s="257"/>
      <c r="D110" t="str" s="247">
        <v>Unassigned</v>
      </c>
      <c r="E110" t="str" s="247">
        <v>Approved planning</v>
      </c>
      <c r="F110" s="258"/>
    </row>
    <row r="111" ht="100" customHeight="1">
      <c r="A111" t="str" s="243">
        <v>Sous Chef A48:C48</v>
      </c>
      <c r="B111" t="str" s="247">
        <v>Uploaded v1.5 staffing assumptions; no new positions or compensation added.</v>
      </c>
      <c r="C111" s="257"/>
      <c r="D111" t="str" s="247">
        <v>Unassigned</v>
      </c>
      <c r="E111" t="str" s="247">
        <v>Approved planning</v>
      </c>
      <c r="F111" s="258"/>
    </row>
    <row r="112" ht="100" customHeight="1">
      <c r="A112" t="str" s="243">
        <v>Kitchen Labor A49:C49</v>
      </c>
      <c r="B112" t="str" s="247">
        <v>Uploaded v1.5 staffing assumptions; no new positions or compensation added.</v>
      </c>
      <c r="C112" s="257"/>
      <c r="D112" t="str" s="247">
        <v>Unassigned</v>
      </c>
      <c r="E112" t="str" s="247">
        <v>Approved planning</v>
      </c>
      <c r="F112" s="258"/>
    </row>
    <row r="113" ht="100" customHeight="1">
      <c r="A113" t="str" s="243">
        <v>Property Management Labor A50:C50</v>
      </c>
      <c r="B113" t="str" s="247">
        <v>Uploaded v1.5 staffing assumptions; no new positions or compensation added.</v>
      </c>
      <c r="C113" s="257"/>
      <c r="D113" t="str" s="247">
        <v>Unassigned</v>
      </c>
      <c r="E113" t="str" s="247">
        <v>Approved planning</v>
      </c>
      <c r="F113" s="258"/>
    </row>
    <row r="114" ht="100" customHeight="1">
      <c r="A114" t="str" s="243">
        <v>Residential units B55:D55</v>
      </c>
      <c r="B114" t="str" s="247">
        <v>Uploaded v1.5 amount retained; management-approved scope notes above. Professional validation pending.</v>
      </c>
      <c r="C114" s="257"/>
      <c r="D114" t="str" s="247">
        <v>Unassigned</v>
      </c>
      <c r="E114" t="str" s="247">
        <v>Approved planning</v>
      </c>
      <c r="F114" s="258"/>
    </row>
    <row r="115" ht="100" customHeight="1">
      <c r="A115" t="str" s="243">
        <v>Command Center / Mess Hall B56:D56</v>
      </c>
      <c r="B115" t="str" s="247">
        <v>Uploaded v1.5 amount retained; management-approved scope notes above. Professional validation pending.</v>
      </c>
      <c r="C115" s="257"/>
      <c r="D115" t="str" s="247">
        <v>Unassigned</v>
      </c>
      <c r="E115" t="str" s="247">
        <v>Approved planning</v>
      </c>
      <c r="F115" s="258"/>
    </row>
    <row r="116" ht="100" customHeight="1">
      <c r="A116" t="str" s="243">
        <v>Laundry, Kitchen, and Logistics Equipment B57:D57</v>
      </c>
      <c r="B116" t="str" s="247">
        <v>Uploaded v1.5 amount retained; management-approved scope notes above. Professional validation pending.</v>
      </c>
      <c r="C116" s="257"/>
      <c r="D116" t="str" s="247">
        <v>Unassigned</v>
      </c>
      <c r="E116" t="str" s="247">
        <v>Approved planning</v>
      </c>
      <c r="F116" s="258"/>
    </row>
    <row r="117" ht="100" customHeight="1">
      <c r="A117" t="str" s="243">
        <v>Infrastructure &amp; Site Work B58:D58</v>
      </c>
      <c r="B117" t="str" s="247">
        <v>Uploaded v1.5 amount retained; management-approved scope notes above. Professional validation pending.</v>
      </c>
      <c r="C117" s="257"/>
      <c r="D117" t="str" s="247">
        <v>Unassigned</v>
      </c>
      <c r="E117" t="str" s="247">
        <v>Approved planning</v>
      </c>
      <c r="F117" s="258"/>
    </row>
    <row r="118" ht="100" customHeight="1">
      <c r="A118" s="243" t="str">
        <v>Solar / Microgrid C59</v>
      </c>
      <c r="B118" s="247" t="str">
        <v>Founder-approved provisional $3m; solar thread. Not a quote. B59/D59 historical; see scope notes.</v>
      </c>
      <c r="C118" s="257" t="str">
        <v>2026-09-02</v>
      </c>
      <c r="D118" s="247" t="str">
        <v>Founder</v>
      </c>
      <c r="E118" s="247" t="str">
        <v>Approved planning</v>
      </c>
      <c r="F118" s="258"/>
    </row>
    <row r="119" ht="100" customHeight="1">
      <c r="A119" t="str" s="243">
        <v>Water Reclamation B60:D60</v>
      </c>
      <c r="B119" t="str" s="247">
        <v>Uploaded v1.5 amount retained; management-approved scope notes above. Professional validation pending.</v>
      </c>
      <c r="C119" s="257"/>
      <c r="D119" t="str" s="247">
        <v>Unassigned</v>
      </c>
      <c r="E119" t="str" s="247">
        <v>Approved planning</v>
      </c>
      <c r="F119" s="258"/>
    </row>
    <row r="121" ht="66" customHeight="1">
      <c r="A121" t="str" s="243">
        <v>Acceptance discipline</v>
      </c>
      <c r="B121" s="243"/>
      <c r="C121" t="str" s="209">
        <v>Dates and responsible reviewers are blank or unassigned where not documented. Record source/reviewer/date on acceptance, then replace the active input. A pending note or status change alone does not replace an input.</v>
      </c>
      <c r="D121" s="209"/>
      <c r="E121" s="209"/>
      <c r="F121" s="209"/>
    </row>
  </sheetData>
  <sheetProtection sheet="1" objects="1" scenarios="1" formatCells="1" formatColumns="0" formatRows="0" insertColumns="1" insertRows="1" deleteColumns="1" deleteRows="1" selectLockedCells="0" selectUnlockedCells="0" sort="1" autoFilter="0"/>
  <mergeCells count="90">
    <mergeCell ref="A1:F1"/>
    <mergeCell ref="C29:E29"/>
    <mergeCell ref="A31:F31"/>
    <mergeCell ref="A33:F33"/>
    <mergeCell ref="C34:F34"/>
    <mergeCell ref="C35:F35"/>
    <mergeCell ref="C36:F36"/>
    <mergeCell ref="C37:F37"/>
    <mergeCell ref="C38:F38"/>
    <mergeCell ref="C39:F39"/>
    <mergeCell ref="C40:F40"/>
    <mergeCell ref="A41:B41"/>
    <mergeCell ref="C41:F41"/>
    <mergeCell ref="A43:F43"/>
    <mergeCell ref="A53:F53"/>
    <mergeCell ref="E54:F54"/>
    <mergeCell ref="E55:F55"/>
    <mergeCell ref="E56:F56"/>
    <mergeCell ref="E57:F57"/>
    <mergeCell ref="E58:F58"/>
    <mergeCell ref="E59:F59"/>
    <mergeCell ref="E60:F60"/>
    <mergeCell ref="A65:F65"/>
    <mergeCell ref="A67:B67"/>
    <mergeCell ref="C67:F67"/>
    <mergeCell ref="A68:B68"/>
    <mergeCell ref="C68:F68"/>
    <mergeCell ref="A69:B69"/>
    <mergeCell ref="C69:F69"/>
    <mergeCell ref="A70:B70"/>
    <mergeCell ref="C70:F70"/>
    <mergeCell ref="A71:B71"/>
    <mergeCell ref="C71:F71"/>
    <mergeCell ref="A72:B72"/>
    <mergeCell ref="C72:F72"/>
    <mergeCell ref="A74:F74"/>
    <mergeCell ref="A75:B75"/>
    <mergeCell ref="C75:F75"/>
    <mergeCell ref="A76:B76"/>
    <mergeCell ref="C76:F76"/>
    <mergeCell ref="A77:B77"/>
    <mergeCell ref="C77:F77"/>
    <mergeCell ref="A78:B78"/>
    <mergeCell ref="C78:F78"/>
    <mergeCell ref="A79:B79"/>
    <mergeCell ref="C79:F79"/>
    <mergeCell ref="A80:B80"/>
    <mergeCell ref="C80:F80"/>
    <mergeCell ref="A81:B81"/>
    <mergeCell ref="C81:F81"/>
    <mergeCell ref="A82:B82"/>
    <mergeCell ref="C82:F82"/>
    <mergeCell ref="A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A121:B121"/>
    <mergeCell ref="C121:F121"/>
  </mergeCells>
  <conditionalFormatting sqref="B6 B8:B11 C16:E28 B29">
    <cfRule type="cellIs" dxfId="1" priority="1" operator="lessThan" stopIfTrue="1">
      <formula>0</formula>
    </cfRule>
  </conditionalFormatting>
  <dataValidations count="48">
    <dataValidation type="list" allowBlank="0" showInputMessage="1" showErrorMessage="1" sqref="B4" errorStyle="stop" errorTitle="Invalid input" error="Use an allowed value. Occupied residents cannot exceed available beds.">
      <formula1>"All-Electric,Natural Gas,Propane"</formula1>
    </dataValidation>
    <dataValidation type="list" allowBlank="0" showInputMessage="1" showErrorMessage="1" sqref="B5" errorStyle="stop" errorTitle="Invalid input" error="Use an allowed value. Occupied residents cannot exceed available beds.">
      <formula1>"Low,Expected,High"</formula1>
    </dataValidation>
    <dataValidation type="list" sqref="E86"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87"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88"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89"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90"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91"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92"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93"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94"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95"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96"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97"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98"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99"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00"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01"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02"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03"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04"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05"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06"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07"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08"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09"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10"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11"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12"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13"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14"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15"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16"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17"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18" allowBlank="0" showErrorMessage="1" errorStyle="stop" showInputMessage="1" errorTitle="Invalid input" error="Use an allowed value. Occupied residents cannot exceed available beds.">
      <formula1>"Current selection,Approved planning,Quoted pending,Approved validated"</formula1>
    </dataValidation>
    <dataValidation type="list" sqref="E119" allowBlank="0" showErrorMessage="1" errorStyle="stop" showInputMessage="1" errorTitle="Invalid input" error="Use an allowed value. Occupied residents cannot exceed available beds.">
      <formula1>"Current selection,Approved planning,Quoted pending,Approved validated"</formula1>
    </dataValidation>
    <dataValidation type="whole" sqref="B6" operator="between" allowBlank="0" showErrorMessage="1" errorStyle="stop" showInputMessage="1" errorTitle="Invalid input" error="Use an allowed value. Occupied residents cannot exceed available beds.">
      <formula1>0</formula1>
      <formula2>1000000</formula2>
    </dataValidation>
    <dataValidation type="whole" sqref="B7" operator="between" allowBlank="0" showErrorMessage="1" errorStyle="stop" showInputMessage="1" errorTitle="Invalid input" error="Use an allowed value. Occupied residents cannot exceed available beds.">
      <formula1>0</formula1>
      <formula2>$B$6</formula2>
    </dataValidation>
    <dataValidation type="whole" sqref="B8" operator="between" allowBlank="0" showErrorMessage="1" errorStyle="stop" showInputMessage="1" errorTitle="Invalid input" error="Use an allowed value. Occupied residents cannot exceed available beds.">
      <formula1>0</formula1>
      <formula2>1000000</formula2>
    </dataValidation>
    <dataValidation type="decimal" sqref="B9:B11" operator="greaterThanOrEqual" allowBlank="0" showErrorMessage="1" errorStyle="stop" showInputMessage="1" errorTitle="Invalid input" error="Use an allowed value. Occupied residents cannot exceed available beds.">
      <formula1>0</formula1>
    </dataValidation>
    <dataValidation type="decimal" sqref="B12" operator="greaterThanOrEqual" allowBlank="0" showErrorMessage="1" errorStyle="stop" showInputMessage="1" errorTitle="Invalid input" error="Use an allowed value. Occupied residents cannot exceed available beds.">
      <formula1>0</formula1>
    </dataValidation>
    <dataValidation type="decimal" sqref="B29" operator="greaterThanOrEqual" allowBlank="0" showErrorMessage="1" errorStyle="stop" showInputMessage="1" errorTitle="Invalid input" error="Use an allowed value. Occupied residents cannot exceed available beds.">
      <formula1>0</formula1>
    </dataValidation>
    <dataValidation type="decimal" sqref="C16:E28" operator="greaterThanOrEqual" allowBlank="0" showErrorMessage="1" errorStyle="stop" showInputMessage="1" errorTitle="Invalid input" error="Use an allowed value. Occupied residents cannot exceed available beds.">
      <formula1>0</formula1>
    </dataValidation>
    <dataValidation type="decimal" sqref="B34:B35" operator="greaterThanOrEqual" allowBlank="0" showErrorMessage="1" errorStyle="stop" showInputMessage="1" errorTitle="Invalid input" error="Use an allowed value. Occupied residents cannot exceed available beds.">
      <formula1>0</formula1>
    </dataValidation>
    <dataValidation type="whole" sqref="B36:B38" operator="between" allowBlank="0" showErrorMessage="1" errorStyle="stop" showInputMessage="1" errorTitle="Invalid input" error="Use an allowed value. Occupied residents cannot exceed available beds.">
      <formula1>0</formula1>
      <formula2>1000000</formula2>
    </dataValidation>
    <dataValidation type="whole" sqref="B45:B50" operator="between" allowBlank="0" showErrorMessage="1" errorStyle="stop" showInputMessage="1" errorTitle="Invalid input" error="Use an allowed value. Occupied residents cannot exceed available beds.">
      <formula1>0</formula1>
      <formula2>1000000</formula2>
    </dataValidation>
    <dataValidation type="decimal" sqref="C45:C50" operator="greaterThanOrEqual" allowBlank="0" showErrorMessage="1" errorStyle="stop" showInputMessage="1" errorTitle="Invalid input" error="Use an allowed value. Occupied residents cannot exceed available beds.">
      <formula1>0</formula1>
    </dataValidation>
    <dataValidation type="decimal" sqref="B55:D60" operator="greaterThanOrEqual" allowBlank="0" showErrorMessage="1" errorStyle="stop" showInputMessage="1" errorTitle="Invalid input" error="Use an allowed value. Occupied residents cannot exceed available beds.">
      <formula1>0</formula1>
    </dataValidation>
  </dataValidations>
  <pageMargins left="0.75" right="0.75" top="1" bottom="1" header="0.511806" footer="0.511806"/>
  <pageSetup firstPageNumber="1" fitToHeight="1" fitToWidth="1" scale="100" useFirstPageNumber="0" orientation="portrait" pageOrder="downThenOver"/>
  <headerFooter>
    <oddFooter>&amp;C&amp;"Helvetica Neue,Regular"&amp;12&amp;K000000&amp;P</oddFooter>
  </headerFooter>
  <drawing r:id="rId1"/>
  <legacyDrawing r:id="rId2"/>
</worksheet>
</file>

<file path=xl/worksheets/sheet4.xml><?xml version="1.0" encoding="utf-8"?>
<worksheet xmlns:r="http://schemas.openxmlformats.org/officeDocument/2006/relationships" xmlns="http://schemas.openxmlformats.org/spreadsheetml/2006/main">
  <dimension ref="A1:H20"/>
  <sheetViews>
    <sheetView workbookViewId="0" showGridLines="0" defaultGridColor="1"/>
  </sheetViews>
  <sheetFormatPr defaultColWidth="7.83333" defaultRowHeight="12.75" customHeight="1" outlineLevelRow="0" outlineLevelCol="0"/>
  <cols>
    <col min="1" max="1" width="34.1719" style="85" customWidth="1"/>
    <col min="2" max="2" width="16.1719" style="85" customWidth="1"/>
    <col min="3" max="3" width="15.5" style="85" customWidth="1"/>
    <col min="4" max="4" width="22.1719" style="85" customWidth="1"/>
    <col min="5" max="5" width="14.8516" style="85" customWidth="1"/>
    <col min="6" max="6" width="20.5" style="85" customWidth="1"/>
    <col min="7" max="7" width="14" style="85" customWidth="1"/>
    <col min="8" max="8" width="14.1719" style="85" customWidth="1"/>
    <col min="9" max="16384" width="7.85156" style="85" customWidth="1"/>
  </cols>
  <sheetData>
    <row r="1" ht="27.75" customHeight="1">
      <c r="A1" t="s" s="210">
        <v>201</v>
      </c>
      <c r="B1" s="211"/>
      <c r="C1" s="211"/>
      <c r="D1" s="211"/>
      <c r="E1" s="211"/>
      <c r="F1" s="211"/>
      <c r="G1" s="211"/>
      <c r="H1" s="212"/>
    </row>
    <row r="2" ht="20" customHeight="1">
      <c r="A2" s="264"/>
      <c r="B2" s="259"/>
      <c r="C2" s="259"/>
      <c r="D2" s="259"/>
      <c r="E2" s="259"/>
      <c r="F2" s="259"/>
      <c r="G2" s="259"/>
      <c r="H2" s="260"/>
    </row>
    <row r="3" ht="20" customHeight="1">
      <c r="A3" t="s" s="239">
        <v>202</v>
      </c>
      <c r="B3" t="str" s="281" cm="1">
        <f t="array" ref="B3">'Assumptions'!B5</f>
        <v>Low</v>
      </c>
      <c r="C3" s="259"/>
      <c r="D3" t="s" s="282">
        <v>198</v>
      </c>
      <c r="E3" s="277" t="n">
        <f t="array" ref="E3">'Assumptions'!B29</f>
        <v>0.2</v>
      </c>
      <c r="F3" s="259"/>
      <c r="G3" s="259"/>
      <c r="H3" s="260"/>
    </row>
    <row r="4" ht="20" customHeight="1">
      <c r="A4" s="264"/>
      <c r="B4" s="259"/>
      <c r="C4" s="259"/>
      <c r="D4" s="259"/>
      <c r="E4" s="259"/>
      <c r="F4" s="259"/>
      <c r="G4" s="259"/>
      <c r="H4" s="260"/>
    </row>
    <row r="5" ht="20" customHeight="1">
      <c r="A5" t="s" s="202">
        <v>204</v>
      </c>
      <c r="B5" t="s" s="203">
        <v>205</v>
      </c>
      <c r="C5" t="s" s="203">
        <v>206</v>
      </c>
      <c r="D5" t="s" s="203">
        <v>207</v>
      </c>
      <c r="E5" t="s" s="203">
        <v>208</v>
      </c>
      <c r="F5" s="280" t="str">
        <v>Loaded / Year</v>
      </c>
      <c r="G5" s="240" t="str">
        <v>Loaded / Month</v>
      </c>
      <c r="H5" s="260"/>
    </row>
    <row r="6" ht="20" customHeight="1">
      <c r="A6" s="234" t="str">
        <f>'Assumptions'!A45</f>
        <v>On-Site Managers</v>
      </c>
      <c r="B6" s="271" t="n">
        <f>'Assumptions'!B45</f>
        <v>2</v>
      </c>
      <c r="C6" s="272" t="n">
        <f>'Assumptions'!C45</f>
        <v>75000</v>
      </c>
      <c r="D6" s="283" cm="1">
        <f t="array" ref="D6">B6*C6</f>
        <v>150000</v>
      </c>
      <c r="E6" s="278" t="n">
        <f t="array" ref="E6">'Assumptions'!B29</f>
        <v>0.2</v>
      </c>
      <c r="F6" s="249" cm="1">
        <f t="array" ref="F6">D6*(1+E6)</f>
        <v>180000</v>
      </c>
      <c r="G6" s="249" t="n">
        <f t="array" ref="G6">F6/'Assumptions'!$B$40</f>
        <v>15000</v>
      </c>
      <c r="H6" s="260"/>
    </row>
    <row r="7" ht="20" customHeight="1">
      <c r="A7" s="234" t="str">
        <f>'Assumptions'!A46</f>
        <v>Chaplain / LPC</v>
      </c>
      <c r="B7" s="271" t="n">
        <f>'Assumptions'!B46</f>
        <v>1</v>
      </c>
      <c r="C7" s="272" t="n">
        <f>'Assumptions'!C46</f>
        <v>75000</v>
      </c>
      <c r="D7" s="283" cm="1">
        <f t="array" ref="D7">B7*C7</f>
        <v>75000</v>
      </c>
      <c r="E7" s="278" t="n">
        <f t="array" ref="E7">'Assumptions'!B29</f>
        <v>0.2</v>
      </c>
      <c r="F7" s="249" cm="1">
        <f t="array" ref="F7">D7*(1+E7)</f>
        <v>90000</v>
      </c>
      <c r="G7" s="249" t="n">
        <f t="array" ref="G7">F7/'Assumptions'!$B$40</f>
        <v>7500</v>
      </c>
      <c r="H7" s="260"/>
    </row>
    <row r="8" ht="20" customHeight="1">
      <c r="A8" s="234" t="str">
        <f>'Assumptions'!A47</f>
        <v>Mess Sergeant</v>
      </c>
      <c r="B8" s="271" t="n">
        <f>'Assumptions'!B47</f>
        <v>1</v>
      </c>
      <c r="C8" s="272" t="n">
        <f>'Assumptions'!C47</f>
        <v>50000</v>
      </c>
      <c r="D8" s="283" cm="1">
        <f t="array" ref="D8">B8*C8</f>
        <v>50000</v>
      </c>
      <c r="E8" s="278" t="n">
        <f t="array" ref="E8">'Assumptions'!B29</f>
        <v>0.2</v>
      </c>
      <c r="F8" s="249" cm="1">
        <f t="array" ref="F8">D8*(1+E8)</f>
        <v>60000</v>
      </c>
      <c r="G8" s="249" t="n">
        <f t="array" ref="G8">F8/'Assumptions'!$B$40</f>
        <v>5000</v>
      </c>
      <c r="H8" s="260"/>
    </row>
    <row r="9" ht="20" customHeight="1">
      <c r="A9" s="234" t="str">
        <f>'Assumptions'!A48</f>
        <v>Sous Chef</v>
      </c>
      <c r="B9" s="271" t="n">
        <f>'Assumptions'!B48</f>
        <v>1</v>
      </c>
      <c r="C9" s="272" t="n">
        <f>'Assumptions'!C48</f>
        <v>25000</v>
      </c>
      <c r="D9" s="283" cm="1">
        <f t="array" ref="D9">B9*C9</f>
        <v>25000</v>
      </c>
      <c r="E9" s="278" t="n">
        <f t="array" ref="E9">'Assumptions'!B29</f>
        <v>0.2</v>
      </c>
      <c r="F9" s="249" cm="1">
        <f t="array" ref="F9">D9*(1+E9)</f>
        <v>30000</v>
      </c>
      <c r="G9" s="249" t="n">
        <f t="array" ref="G9">F9/'Assumptions'!$B$40</f>
        <v>2500</v>
      </c>
      <c r="H9" s="260"/>
    </row>
    <row r="10" ht="20" customHeight="1">
      <c r="A10" s="234" t="str">
        <f>'Assumptions'!A49</f>
        <v>Kitchen Labor</v>
      </c>
      <c r="B10" s="271" t="n">
        <f>'Assumptions'!B49</f>
        <v>1</v>
      </c>
      <c r="C10" s="272" t="n">
        <f>'Assumptions'!C49</f>
        <v>18000</v>
      </c>
      <c r="D10" s="283" cm="1">
        <f t="array" ref="D10">B10*C10</f>
        <v>18000</v>
      </c>
      <c r="E10" s="278" t="n">
        <f t="array" ref="E10">'Assumptions'!B29</f>
        <v>0.2</v>
      </c>
      <c r="F10" s="249" cm="1">
        <f t="array" ref="F10">D10*(1+E10)</f>
        <v>21600</v>
      </c>
      <c r="G10" s="249" t="n">
        <f t="array" ref="G10">F10/'Assumptions'!$B$40</f>
        <v>1800</v>
      </c>
      <c r="H10" s="260"/>
    </row>
    <row r="11" ht="20" customHeight="1">
      <c r="A11" s="273" t="str">
        <f>'Assumptions'!A50</f>
        <v>Property Management Labor</v>
      </c>
      <c r="B11" s="274" t="n">
        <f>'Assumptions'!B50</f>
        <v>3</v>
      </c>
      <c r="C11" s="275" t="n">
        <f>'Assumptions'!C50</f>
        <v>18000</v>
      </c>
      <c r="D11" s="284" cm="1">
        <f t="array" ref="D11">B11*C11</f>
        <v>54000</v>
      </c>
      <c r="E11" s="279" t="n">
        <f t="array" ref="E11">'Assumptions'!B29</f>
        <v>0.2</v>
      </c>
      <c r="F11" s="276" cm="1">
        <f t="array" ref="F11">D11*(1+E11)</f>
        <v>64800</v>
      </c>
      <c r="G11" s="276" t="n">
        <f t="array" ref="G11">F11/'Assumptions'!$B$40</f>
        <v>5400</v>
      </c>
      <c r="H11" s="260"/>
    </row>
    <row r="12" ht="20" customHeight="1">
      <c r="A12" t="s" s="285">
        <v>217</v>
      </c>
      <c r="B12" s="252"/>
      <c r="C12" s="252"/>
      <c r="D12" s="252"/>
      <c r="E12" s="252"/>
      <c r="F12" s="252" cm="1">
        <f t="array" ref="F12">SUM(F6:F11)</f>
        <v>446400</v>
      </c>
      <c r="G12" s="252" cm="1">
        <f t="array" ref="G12">SUM(G6:G11)</f>
        <v>37200</v>
      </c>
      <c r="H12" s="260"/>
    </row>
    <row r="13" ht="20" customHeight="1">
      <c r="A13" s="264"/>
      <c r="B13" s="259"/>
      <c r="C13" s="259"/>
      <c r="D13" s="259"/>
      <c r="E13" s="259"/>
      <c r="F13" s="259"/>
      <c r="G13" s="259"/>
      <c r="H13" s="260"/>
    </row>
    <row r="14" ht="20" customHeight="1">
      <c r="A14" t="s" s="202">
        <v>218</v>
      </c>
      <c r="B14" t="s" s="203">
        <v>219</v>
      </c>
      <c r="C14" t="s" s="203">
        <v>220</v>
      </c>
      <c r="D14" s="259"/>
      <c r="E14" s="259"/>
      <c r="F14" s="259"/>
      <c r="G14" s="259"/>
      <c r="H14" s="260"/>
    </row>
    <row r="15" ht="20" customHeight="1">
      <c r="A15" t="s" s="234">
        <v>207</v>
      </c>
      <c r="B15" s="245" cm="1">
        <f t="array" ref="B15">SUM(D6:D11)</f>
        <v>372000</v>
      </c>
      <c r="C15" s="240" t="str">
        <v>Headcount × salary, summed</v>
      </c>
      <c r="D15" s="259"/>
      <c r="E15" s="259"/>
      <c r="F15" s="259"/>
      <c r="G15" s="259"/>
      <c r="H15" s="260"/>
    </row>
    <row r="16" ht="20" customHeight="1">
      <c r="A16" t="s" s="234">
        <v>209</v>
      </c>
      <c r="B16" s="245" cm="1">
        <f t="array" ref="B16">F12</f>
        <v>446400</v>
      </c>
      <c r="C16" t="s" s="240">
        <v>222</v>
      </c>
      <c r="D16" s="259"/>
      <c r="E16" s="259"/>
      <c r="F16" s="259"/>
      <c r="G16" s="259"/>
      <c r="H16" s="260"/>
    </row>
    <row r="17" ht="20" customHeight="1">
      <c r="A17" t="s" s="286">
        <v>210</v>
      </c>
      <c r="B17" s="287" cm="1">
        <f t="array" ref="B17">G12</f>
        <v>37200</v>
      </c>
      <c r="C17" t="s" s="288">
        <v>223</v>
      </c>
      <c r="D17" s="289"/>
      <c r="E17" s="289"/>
      <c r="F17" s="289"/>
      <c r="G17" s="289"/>
      <c r="H17" s="290"/>
    </row>
    <row r="19" ht="24" customHeight="1">
      <c r="A19" t="str" s="202">
        <v>Linked schedule — edit approved inputs on Assumptions</v>
      </c>
      <c r="B19" s="203"/>
      <c r="C19" s="203"/>
      <c r="D19" s="203"/>
      <c r="E19" s="203"/>
      <c r="F19" s="203"/>
      <c r="G19" s="203"/>
    </row>
    <row r="20" ht="46" customHeight="1">
      <c r="A20" t="str" s="243">
        <v>Staffing inputs</v>
      </c>
      <c r="B20" s="243"/>
      <c r="C20" t="str" s="209">
        <v>Assumptions!A45:C50 controls positions, headcounts and salaries. Assumptions!B29 controls payroll burden. No new staffing assumptions were added.</v>
      </c>
      <c r="D20" s="209"/>
      <c r="E20" s="209"/>
      <c r="F20" s="209"/>
      <c r="G20" s="209"/>
    </row>
  </sheetData>
  <sheetProtection sheet="1" objects="1" scenarios="1" formatCells="1" formatColumns="0" formatRows="0" insertColumns="1" insertRows="1" deleteColumns="1" deleteRows="1" selectLockedCells="0" selectUnlockedCells="0" sort="1" autoFilter="0"/>
  <mergeCells count="4">
    <mergeCell ref="A1:H1"/>
    <mergeCell ref="A19:G19"/>
    <mergeCell ref="A20:B20"/>
    <mergeCell ref="C20:G20"/>
  </mergeCells>
  <conditionalFormatting sqref="C6:G11 B12:G12 B15:B17">
    <cfRule type="cellIs" dxfId="2" priority="1" operator="lessThan" stopIfTrue="1">
      <formula>0</formula>
    </cfRule>
  </conditionalFormatting>
  <pageMargins left="0.75" right="0.75" top="1" bottom="1" header="0.511806" footer="0.511806"/>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J78"/>
  <sheetViews>
    <sheetView workbookViewId="0" showGridLines="0" defaultGridColor="1"/>
  </sheetViews>
  <sheetFormatPr defaultColWidth="8.83333" defaultRowHeight="15" customHeight="1" outlineLevelRow="0" outlineLevelCol="0"/>
  <cols>
    <col min="1" max="1" width="34.1719" style="107" customWidth="1"/>
    <col min="2" max="3" width="16.1719" style="107" customWidth="1"/>
    <col min="4" max="4" width="20.1719" style="107" customWidth="1"/>
    <col min="5" max="5" width="16.1719" style="107" customWidth="1"/>
    <col min="6" max="6" width="24.1719" style="107" customWidth="1"/>
    <col min="7" max="7" width="8.67188" style="107" customWidth="1"/>
    <col min="8" max="8" hidden="1" width="8.83333" style="107" customWidth="1"/>
    <col min="9" max="10" width="8.67188" style="107" customWidth="1"/>
    <col min="11" max="16384" width="8.85156" style="107" customWidth="1"/>
  </cols>
  <sheetData>
    <row r="1" ht="27.75" customHeight="1">
      <c r="A1" t="s" s="210">
        <v>224</v>
      </c>
      <c r="B1" s="211"/>
      <c r="C1" s="211"/>
      <c r="D1" s="211"/>
      <c r="E1" s="211"/>
      <c r="F1" s="211"/>
      <c r="G1" s="299"/>
      <c r="H1" s="300" cm="1">
        <f t="array" ref="H1">MATCH('Assumptions'!$B$5,{"Low","Expected","High"},0)</f>
        <v>1</v>
      </c>
      <c r="I1" s="299"/>
      <c r="J1" s="301"/>
    </row>
    <row r="2" ht="20" customHeight="1">
      <c r="A2" s="264"/>
      <c r="B2" s="259"/>
      <c r="C2" s="259"/>
      <c r="D2" s="259"/>
      <c r="E2" s="259"/>
      <c r="F2" s="259"/>
      <c r="G2" s="259"/>
      <c r="H2" s="214"/>
      <c r="I2" s="259"/>
      <c r="J2" s="260"/>
    </row>
    <row r="3" ht="20" customHeight="1">
      <c r="A3" t="s" s="239">
        <v>225</v>
      </c>
      <c r="B3" t="str" s="281" cm="1">
        <f t="array" ref="B3">'Assumptions'!B4</f>
        <v>Propane</v>
      </c>
      <c r="C3" s="259"/>
      <c r="D3" t="s" s="282">
        <v>202</v>
      </c>
      <c r="E3" t="str" s="281" cm="1">
        <f t="array" ref="E3">'Assumptions'!B5</f>
        <v>Low</v>
      </c>
      <c r="F3" s="259"/>
      <c r="G3" s="259"/>
      <c r="H3" s="214"/>
      <c r="I3" s="259"/>
      <c r="J3" s="260"/>
    </row>
    <row r="4" ht="20" customHeight="1">
      <c r="A4" s="264"/>
      <c r="B4" s="259"/>
      <c r="C4" s="259"/>
      <c r="D4" s="259"/>
      <c r="E4" s="259"/>
      <c r="F4" s="259"/>
      <c r="G4" s="259"/>
      <c r="H4" s="214"/>
      <c r="I4" s="259"/>
      <c r="J4" s="260"/>
    </row>
    <row r="5" ht="20" customHeight="1">
      <c r="A5" t="s" s="202">
        <v>227</v>
      </c>
      <c r="B5" t="s" s="203">
        <v>180</v>
      </c>
      <c r="C5" t="s" s="203">
        <v>228</v>
      </c>
      <c r="D5" t="s" s="203">
        <v>229</v>
      </c>
      <c r="E5" t="s" s="203">
        <v>230</v>
      </c>
      <c r="F5" s="259"/>
      <c r="G5" s="259"/>
      <c r="H5" s="214"/>
      <c r="I5" s="259"/>
      <c r="J5" s="260"/>
    </row>
    <row r="6" ht="20" customHeight="1">
      <c r="A6" t="s" s="302">
        <v>231</v>
      </c>
      <c r="B6" s="303"/>
      <c r="C6" s="303"/>
      <c r="D6" s="303"/>
      <c r="E6" s="303"/>
      <c r="F6" s="259"/>
      <c r="G6" s="259"/>
      <c r="H6" s="214"/>
      <c r="I6" s="259"/>
      <c r="J6" s="260"/>
    </row>
    <row r="7" ht="20" customHeight="1">
      <c r="A7" t="s" s="234">
        <v>232</v>
      </c>
      <c r="B7" t="s" s="304">
        <v>182</v>
      </c>
      <c r="C7" s="272" cm="1">
        <f t="array" ref="C7">IF('Assumptions'!$B$4="All-Electric",INDEX('Assumptions'!$C$16:$E$16,1,$H$1),INDEX('Assumptions'!$C$17:$E$17,1,$H$1))</f>
        <v>15500</v>
      </c>
      <c r="D7" s="283" cm="1">
        <f t="array" ref="D7">'Assumptions'!$B$9</f>
        <v>0.15</v>
      </c>
      <c r="E7" s="249" cm="1">
        <f t="array" ref="E7">C7*D7</f>
        <v>2325</v>
      </c>
      <c r="F7" s="259"/>
      <c r="G7" s="259"/>
      <c r="H7" s="214"/>
      <c r="I7" s="259"/>
      <c r="J7" s="260"/>
    </row>
    <row r="8" ht="20" customHeight="1">
      <c r="A8" t="s" s="234">
        <v>157</v>
      </c>
      <c r="B8" t="s" s="304">
        <v>185</v>
      </c>
      <c r="C8" s="272" cm="1">
        <f t="array" ref="C8">IF('Assumptions'!$B$4="Natural Gas",INDEX('Assumptions'!$C$18:$E$18,1,$H$1),0)</f>
        <v>0</v>
      </c>
      <c r="D8" s="283" cm="1">
        <f t="array" ref="D8">'Assumptions'!$B$10</f>
        <v>1.75</v>
      </c>
      <c r="E8" s="249" cm="1">
        <f t="array" ref="E8">C8*D8</f>
        <v>0</v>
      </c>
      <c r="F8" s="259"/>
      <c r="G8" s="259"/>
      <c r="H8" s="214"/>
      <c r="I8" s="259"/>
      <c r="J8" s="260"/>
    </row>
    <row r="9" ht="20" customHeight="1">
      <c r="A9" t="s" s="234">
        <v>158</v>
      </c>
      <c r="B9" t="s" s="304">
        <v>187</v>
      </c>
      <c r="C9" s="272" cm="1">
        <f t="array" ref="C9">IF('Assumptions'!$B$4="Propane",INDEX('Assumptions'!$C$19:$E$19,1,$H$1),0)</f>
        <v>330</v>
      </c>
      <c r="D9" s="283" cm="1">
        <f t="array" ref="D9">'Assumptions'!$B$11</f>
        <v>2.94</v>
      </c>
      <c r="E9" s="249" cm="1">
        <f t="array" ref="E9">C9*D9</f>
        <v>970.1999999999999</v>
      </c>
      <c r="F9" s="259"/>
      <c r="G9" s="259"/>
      <c r="H9" s="214"/>
      <c r="I9" s="259"/>
      <c r="J9" s="260"/>
    </row>
    <row r="10" ht="20" customHeight="1">
      <c r="A10" t="s" s="234">
        <v>188</v>
      </c>
      <c r="B10" t="s" s="304">
        <v>189</v>
      </c>
      <c r="C10" s="249" cm="1">
        <f t="array" ref="C10">INDEX('Assumptions'!$C$20:$E$20,1,$H$1)</f>
        <v>250</v>
      </c>
      <c r="D10" s="271"/>
      <c r="E10" s="249" cm="1">
        <f t="array" ref="E10">C10</f>
        <v>250</v>
      </c>
      <c r="F10" s="259"/>
      <c r="G10" s="259"/>
      <c r="H10" s="214"/>
      <c r="I10" s="259"/>
      <c r="J10" s="260"/>
    </row>
    <row r="11" ht="20" customHeight="1">
      <c r="A11" t="s" s="234">
        <v>190</v>
      </c>
      <c r="B11" t="s" s="304">
        <v>189</v>
      </c>
      <c r="C11" s="249" cm="1">
        <f t="array" ref="C11">INDEX('Assumptions'!$C$21:$E$21,1,$H$1)</f>
        <v>300</v>
      </c>
      <c r="D11" s="271"/>
      <c r="E11" s="249" cm="1">
        <f t="array" ref="E11">C11</f>
        <v>300</v>
      </c>
      <c r="F11" s="259"/>
      <c r="G11" s="259"/>
      <c r="H11" s="214"/>
      <c r="I11" s="259"/>
      <c r="J11" s="260"/>
    </row>
    <row r="12" ht="20" customHeight="1">
      <c r="A12" t="s" s="273">
        <v>191</v>
      </c>
      <c r="B12" t="s" s="304">
        <v>189</v>
      </c>
      <c r="C12" s="249" cm="1">
        <f t="array" ref="C12">INDEX('Assumptions'!$C$22:$E$22,1,$H$1)</f>
        <v>301</v>
      </c>
      <c r="D12" s="271"/>
      <c r="E12" s="276" cm="1">
        <f t="array" ref="E12">C12</f>
        <v>301</v>
      </c>
      <c r="F12" s="259"/>
      <c r="G12" s="259"/>
      <c r="H12" s="214"/>
      <c r="I12" s="259"/>
      <c r="J12" s="260"/>
    </row>
    <row r="13" ht="20" customHeight="1">
      <c r="A13" t="s" s="305">
        <v>233</v>
      </c>
      <c r="B13" s="271"/>
      <c r="C13" s="271"/>
      <c r="D13" s="271"/>
      <c r="E13" s="306" cm="1">
        <f t="array" ref="E13">SUM(E7:E12)</f>
        <v>4146.2</v>
      </c>
      <c r="F13" s="259"/>
      <c r="G13" s="259"/>
      <c r="H13" s="214"/>
      <c r="I13" s="259"/>
      <c r="J13" s="260"/>
    </row>
    <row r="14" ht="20" customHeight="1">
      <c r="A14" t="s" s="302">
        <v>234</v>
      </c>
      <c r="B14" s="303"/>
      <c r="C14" s="303"/>
      <c r="D14" s="303"/>
      <c r="E14" s="303"/>
      <c r="F14" s="259"/>
      <c r="G14" s="259"/>
      <c r="H14" s="214"/>
      <c r="I14" s="259"/>
      <c r="J14" s="260"/>
    </row>
    <row r="15" ht="20" customHeight="1">
      <c r="A15" t="s" s="234">
        <v>192</v>
      </c>
      <c r="B15" t="s" s="304">
        <v>189</v>
      </c>
      <c r="C15" s="249" cm="1">
        <f t="array" ref="C15">INDEX('Assumptions'!$C$23:$E$23,1,$H$1)</f>
        <v>331</v>
      </c>
      <c r="D15" s="271"/>
      <c r="E15" s="249" cm="1">
        <f t="array" ref="E15">C15</f>
        <v>331</v>
      </c>
      <c r="F15" s="259"/>
      <c r="G15" s="259"/>
      <c r="H15" s="214"/>
      <c r="I15" s="259"/>
      <c r="J15" s="260"/>
    </row>
    <row r="16" ht="20" customHeight="1">
      <c r="A16" t="s" s="234">
        <v>193</v>
      </c>
      <c r="B16" t="s" s="304">
        <v>189</v>
      </c>
      <c r="C16" s="249" cm="1">
        <f t="array" ref="C16">INDEX('Assumptions'!$C$24:$E$24,1,$H$1)</f>
        <v>500</v>
      </c>
      <c r="D16" s="271"/>
      <c r="E16" s="249" cm="1">
        <f t="array" ref="E16">C16</f>
        <v>500</v>
      </c>
      <c r="F16" s="259"/>
      <c r="G16" s="259"/>
      <c r="H16" s="214"/>
      <c r="I16" s="259"/>
      <c r="J16" s="260"/>
    </row>
    <row r="17" ht="20" customHeight="1">
      <c r="A17" t="s" s="234">
        <v>194</v>
      </c>
      <c r="B17" t="s" s="304">
        <v>189</v>
      </c>
      <c r="C17" s="249" cm="1">
        <f t="array" ref="C17">INDEX('Assumptions'!$C$25:$E$25,1,$H$1)</f>
        <v>200</v>
      </c>
      <c r="D17" s="271"/>
      <c r="E17" s="249" cm="1">
        <f t="array" ref="E17">C17</f>
        <v>200</v>
      </c>
      <c r="F17" s="259"/>
      <c r="G17" s="259"/>
      <c r="H17" s="214"/>
      <c r="I17" s="259"/>
      <c r="J17" s="260"/>
    </row>
    <row r="18" ht="20" customHeight="1">
      <c r="A18" t="s" s="234">
        <v>195</v>
      </c>
      <c r="B18" t="s" s="304">
        <v>189</v>
      </c>
      <c r="C18" s="249" cm="1">
        <f t="array" ref="C18">INDEX('Assumptions'!$C$26:$E$26,1,$H$1)</f>
        <v>400</v>
      </c>
      <c r="D18" s="271"/>
      <c r="E18" s="249" cm="1">
        <f t="array" ref="E18">C18</f>
        <v>400</v>
      </c>
      <c r="F18" s="259"/>
      <c r="G18" s="259"/>
      <c r="H18" s="214"/>
      <c r="I18" s="259"/>
      <c r="J18" s="260"/>
    </row>
    <row r="19" ht="20" customHeight="1">
      <c r="A19" t="s" s="234">
        <v>196</v>
      </c>
      <c r="B19" t="s" s="304">
        <v>189</v>
      </c>
      <c r="C19" s="249" cm="1">
        <f t="array" ref="C19">INDEX('Assumptions'!$C$27:$E$27,1,$H$1)</f>
        <v>332</v>
      </c>
      <c r="D19" s="271"/>
      <c r="E19" s="249" cm="1">
        <f t="array" ref="E19">C19</f>
        <v>332</v>
      </c>
      <c r="F19" s="259"/>
      <c r="G19" s="259"/>
      <c r="H19" s="214"/>
      <c r="I19" s="259"/>
      <c r="J19" s="260"/>
    </row>
    <row r="20" ht="20" customHeight="1">
      <c r="A20" t="s" s="273">
        <v>197</v>
      </c>
      <c r="B20" t="s" s="304">
        <v>189</v>
      </c>
      <c r="C20" s="249" cm="1">
        <f t="array" ref="C20">INDEX('Assumptions'!$C$28:$E$28,1,$H$1)</f>
        <v>1000</v>
      </c>
      <c r="D20" s="271"/>
      <c r="E20" s="276" cm="1">
        <f t="array" ref="E20">C20</f>
        <v>1000</v>
      </c>
      <c r="F20" s="259"/>
      <c r="G20" s="259"/>
      <c r="H20" s="214"/>
      <c r="I20" s="259"/>
      <c r="J20" s="260"/>
    </row>
    <row r="21" ht="20" customHeight="1">
      <c r="A21" t="s" s="307">
        <v>235</v>
      </c>
      <c r="B21" s="271"/>
      <c r="C21" s="271"/>
      <c r="D21" s="271"/>
      <c r="E21" s="308" cm="1">
        <f t="array" ref="E21">SUM(E15:E20)</f>
        <v>2763</v>
      </c>
      <c r="F21" s="259"/>
      <c r="G21" s="259"/>
      <c r="H21" s="214"/>
      <c r="I21" s="259"/>
      <c r="J21" s="260"/>
    </row>
    <row r="22" ht="20" customHeight="1">
      <c r="A22" t="s" s="309">
        <v>236</v>
      </c>
      <c r="B22" s="271"/>
      <c r="C22" s="271"/>
      <c r="D22" s="271"/>
      <c r="E22" s="310" cm="1">
        <f t="array" ref="E22">E13+E21</f>
        <v>6909.2</v>
      </c>
      <c r="F22" s="259"/>
      <c r="G22" s="259"/>
      <c r="H22" s="214"/>
      <c r="I22" s="259"/>
      <c r="J22" s="260"/>
    </row>
    <row r="23" ht="20" customHeight="1">
      <c r="A23" t="s" s="309">
        <v>210</v>
      </c>
      <c r="B23" s="271"/>
      <c r="C23" s="271"/>
      <c r="D23" s="271"/>
      <c r="E23" s="310" cm="1">
        <f t="array" ref="E23">'Payroll &amp; Staffing'!G12</f>
        <v>37200</v>
      </c>
      <c r="F23" s="259"/>
      <c r="G23" s="259"/>
      <c r="H23" s="214"/>
      <c r="I23" s="259"/>
      <c r="J23" s="260"/>
    </row>
    <row r="24" ht="20" customHeight="1">
      <c r="A24" t="s" s="285">
        <v>237</v>
      </c>
      <c r="B24" s="271"/>
      <c r="C24" s="271"/>
      <c r="D24" s="271"/>
      <c r="E24" s="252" cm="1">
        <f t="array" ref="E24">E22+E23</f>
        <v>44109.2</v>
      </c>
      <c r="F24" s="259"/>
      <c r="G24" s="259"/>
      <c r="H24" s="214"/>
      <c r="I24" s="259"/>
      <c r="J24" s="260"/>
    </row>
    <row r="25" ht="20" customHeight="1">
      <c r="A25" s="264"/>
      <c r="B25" s="259"/>
      <c r="C25" s="259"/>
      <c r="D25" s="259"/>
      <c r="E25" s="259"/>
      <c r="F25" s="259"/>
      <c r="G25" s="259"/>
      <c r="H25" s="214"/>
      <c r="I25" s="259"/>
      <c r="J25" s="260"/>
    </row>
    <row r="26" ht="20" customHeight="1">
      <c r="A26" t="s" s="202">
        <v>218</v>
      </c>
      <c r="B26" t="s" s="203">
        <v>219</v>
      </c>
      <c r="C26" t="s" s="203">
        <v>220</v>
      </c>
      <c r="D26" s="259"/>
      <c r="E26" s="259"/>
      <c r="F26" s="259"/>
      <c r="G26" s="259"/>
      <c r="H26" s="214"/>
      <c r="I26" s="259"/>
      <c r="J26" s="260"/>
    </row>
    <row r="27" ht="32" customHeight="1">
      <c r="A27" t="s" s="234">
        <v>238</v>
      </c>
      <c r="B27" s="245" t="n">
        <f t="array" ref="B27">'Assumptions'!$B$7</f>
        <v>10</v>
      </c>
      <c r="C27" s="291" t="str">
        <v>Resident count; one bed each</v>
      </c>
      <c r="D27" s="259"/>
      <c r="E27" s="259"/>
      <c r="F27" s="259"/>
      <c r="G27" s="259"/>
      <c r="H27" s="214"/>
      <c r="I27" s="259"/>
      <c r="J27" s="260"/>
    </row>
    <row r="28" ht="20" customHeight="1">
      <c r="A28" t="s" s="234">
        <v>240</v>
      </c>
      <c r="B28" s="292" t="n">
        <f t="array" ref="B28">IF(B27=0,"N/A",E24/B27)</f>
        <v>4410.92</v>
      </c>
      <c r="C28" t="s" s="240">
        <v>241</v>
      </c>
      <c r="D28" s="259"/>
      <c r="E28" s="259"/>
      <c r="F28" s="259"/>
      <c r="G28" s="259"/>
      <c r="H28" s="214"/>
      <c r="I28" s="259"/>
      <c r="J28" s="260"/>
    </row>
    <row r="29" ht="32" customHeight="1">
      <c r="A29" t="s" s="234">
        <v>242</v>
      </c>
      <c r="B29" s="293" t="n">
        <f t="array" ref="B29">IF(B27=0,"N/A",B30/'Assumptions'!$B$39/B27)</f>
        <v>145.01654794520545</v>
      </c>
      <c r="C29" s="291" t="str">
        <v>Annual expense / 365 / residents</v>
      </c>
      <c r="D29" s="259"/>
      <c r="E29" s="259"/>
      <c r="F29" s="259"/>
      <c r="G29" s="259"/>
      <c r="H29" s="214"/>
      <c r="I29" s="259"/>
      <c r="J29" s="260"/>
    </row>
    <row r="30" ht="20" customHeight="1">
      <c r="A30" t="s" s="234">
        <v>144</v>
      </c>
      <c r="B30" s="292" t="n">
        <f t="array" ref="B30">E24*'Assumptions'!$B$40</f>
        <v>529310.3999999999</v>
      </c>
      <c r="C30" t="s" s="240">
        <v>244</v>
      </c>
      <c r="D30" s="259"/>
      <c r="E30" s="259"/>
      <c r="F30" s="259"/>
      <c r="G30" s="259"/>
      <c r="H30" s="214"/>
      <c r="I30" s="259"/>
      <c r="J30" s="260"/>
    </row>
    <row r="31" ht="20" customHeight="1">
      <c r="A31" t="s" s="234">
        <v>245</v>
      </c>
      <c r="B31" s="292" t="n">
        <f t="array" ref="B31">IF('Assumptions'!$B$8=0,"N/A",B30/'Assumptions'!$B$8)</f>
        <v>17643.679999999997</v>
      </c>
      <c r="C31" t="s" s="240">
        <v>246</v>
      </c>
      <c r="D31" s="259"/>
      <c r="E31" s="259"/>
      <c r="F31" s="259"/>
      <c r="G31" s="259"/>
      <c r="H31" s="214"/>
      <c r="I31" s="259"/>
      <c r="J31" s="260"/>
    </row>
    <row r="32" ht="20" customHeight="1">
      <c r="A32" s="311"/>
      <c r="B32" s="312"/>
      <c r="C32" s="289"/>
      <c r="D32" s="289"/>
      <c r="E32" s="289"/>
      <c r="F32" s="289"/>
      <c r="G32" s="289"/>
      <c r="H32" s="237"/>
      <c r="I32" s="289"/>
      <c r="J32" s="290"/>
    </row>
    <row r="34" ht="24" customHeight="1">
      <c r="A34" t="str" s="202">
        <v>Resident revenue and operating funding need</v>
      </c>
      <c r="B34" s="203"/>
      <c r="C34" s="203"/>
      <c r="D34" s="203"/>
      <c r="E34" s="203"/>
      <c r="F34" s="203"/>
    </row>
    <row r="35" ht="24" customHeight="1">
      <c r="A35" t="str" s="203">
        <v>Metric</v>
      </c>
      <c r="B35" t="str" s="203">
        <v>Monthly</v>
      </c>
      <c r="C35" t="str" s="203">
        <v>Annual</v>
      </c>
    </row>
    <row r="36" ht="32" customHeight="1">
      <c r="A36" t="str" s="253">
        <v>Gross operating expense</v>
      </c>
      <c r="B36" t="n" s="293">
        <f>E24</f>
        <v>44109.2</v>
      </c>
      <c r="C36" t="n" s="293">
        <f>B30</f>
        <v>529310.3999999999</v>
      </c>
    </row>
    <row r="37" ht="32" customHeight="1">
      <c r="A37" t="str" s="253">
        <v>Resident payment each</v>
      </c>
      <c r="B37" t="n" s="293">
        <f>'Assumptions'!B34</f>
        <v>500</v>
      </c>
      <c r="C37" t="n" s="293">
        <f>B37*'Assumptions'!B40</f>
        <v>6000</v>
      </c>
    </row>
    <row r="38" ht="32" customHeight="1">
      <c r="A38" t="str" s="253">
        <v>Resident revenue</v>
      </c>
      <c r="B38" t="n" s="293">
        <f>'Assumptions'!B7*'Assumptions'!B34</f>
        <v>5000</v>
      </c>
      <c r="C38" t="n" s="293">
        <f>B38*'Assumptions'!B40</f>
        <v>60000</v>
      </c>
    </row>
    <row r="39" ht="32" customHeight="1">
      <c r="A39" t="str" s="253">
        <v>Remaining funding need</v>
      </c>
      <c r="B39" t="n" s="293">
        <f>B36-B38</f>
        <v>39109.2</v>
      </c>
      <c r="C39" t="n" s="293">
        <f>C36-C38</f>
        <v>469310.3999999999</v>
      </c>
    </row>
    <row r="40" ht="32" customHeight="1">
      <c r="A40" t="str" s="253">
        <v>Initial operating reserve</v>
      </c>
      <c r="B40" t="n" s="293">
        <f>'Assumptions'!B35</f>
        <v>1000000</v>
      </c>
    </row>
    <row r="41" ht="32" customHeight="1">
      <c r="A41" t="str" s="253">
        <v>Reserve coverage: months</v>
      </c>
      <c r="B41" t="n" s="294">
        <f>IF(B36=0,"N/A",B40/B36)</f>
        <v>22.671007408885224</v>
      </c>
    </row>
    <row r="42" ht="32" customHeight="1">
      <c r="A42" t="str" s="253">
        <v>Reserve coverage: years</v>
      </c>
      <c r="B42" t="n" s="294">
        <f>IF(C36=0,"N/A",B40/C36)</f>
        <v>1.8892506174071022</v>
      </c>
    </row>
    <row r="44" ht="64" customHeight="1">
      <c r="A44" t="str" s="243">
        <v>Basis and limits</v>
      </c>
      <c r="B44" s="243"/>
      <c r="C44" t="str" s="209">
        <v>Annual figures hold selected residents constant for 12 months. Expenses do not automatically scale with occupancy. Funding need excludes speculative enterprises, grants and donations. Reserve coverage uses gross expenses.</v>
      </c>
      <c r="D44" s="209"/>
      <c r="E44" s="209"/>
      <c r="F44" s="209"/>
    </row>
    <row r="46" ht="24" customHeight="1">
      <c r="A46" t="str" s="202">
        <v>Occupancy comparison — current expenses held constant</v>
      </c>
      <c r="B46" s="203"/>
      <c r="C46" s="203"/>
      <c r="D46" s="203"/>
      <c r="E46" s="203"/>
      <c r="F46" s="203"/>
    </row>
    <row r="47" ht="42" customHeight="1">
      <c r="A47" t="str" s="246">
        <v>Residents</v>
      </c>
      <c r="B47" t="str" s="246">
        <v>Occupancy</v>
      </c>
      <c r="C47" t="str" s="246">
        <v>Revenue / mo</v>
      </c>
      <c r="D47" t="str" s="246">
        <v>Cost / resident</v>
      </c>
      <c r="E47" t="str" s="246">
        <v>Funding / mo</v>
      </c>
      <c r="F47" t="str" s="246">
        <v>Revenue / year</v>
      </c>
    </row>
    <row r="48" ht="28" customHeight="1">
      <c r="A48" t="n" s="245">
        <f>0</f>
        <v>0</v>
      </c>
      <c r="B48" t="n" s="295">
        <f>IF('Assumptions'!$B$6=0,"N/A",A48/'Assumptions'!$B$6)</f>
        <v>0</v>
      </c>
      <c r="C48" t="n" s="293">
        <f>A48*'Assumptions'!$B$34</f>
        <v>0</v>
      </c>
      <c r="D48" t="str" s="293">
        <f>IF(A48=0,"N/A",$E$24/A48)</f>
        <v>N/A</v>
      </c>
      <c r="E48" t="n" s="293">
        <f>$E$24-C48</f>
        <v>44109.2</v>
      </c>
      <c r="F48" t="n" s="293">
        <f>C48*'Assumptions'!$B$40</f>
        <v>0</v>
      </c>
    </row>
    <row r="49" ht="28" customHeight="1">
      <c r="A49" t="n" s="245">
        <f>'Assumptions'!$B$6*1/3</f>
        <v>10</v>
      </c>
      <c r="B49" t="n" s="295">
        <f>IF('Assumptions'!$B$6=0,"N/A",A49/'Assumptions'!$B$6)</f>
        <v>0.3333333333333333</v>
      </c>
      <c r="C49" t="n" s="293">
        <f>A49*'Assumptions'!$B$34</f>
        <v>5000</v>
      </c>
      <c r="D49" t="n" s="293">
        <f>IF(A49=0,"N/A",$E$24/A49)</f>
        <v>4410.92</v>
      </c>
      <c r="E49" t="n" s="293">
        <f>$E$24-C49</f>
        <v>39109.2</v>
      </c>
      <c r="F49" t="n" s="293">
        <f>C49*'Assumptions'!$B$40</f>
        <v>60000</v>
      </c>
    </row>
    <row r="50" ht="28" customHeight="1">
      <c r="A50" t="n" s="245">
        <f>'Assumptions'!$B$6*2/3</f>
        <v>20</v>
      </c>
      <c r="B50" t="n" s="295">
        <f>IF('Assumptions'!$B$6=0,"N/A",A50/'Assumptions'!$B$6)</f>
        <v>0.6666666666666666</v>
      </c>
      <c r="C50" t="n" s="293">
        <f>A50*'Assumptions'!$B$34</f>
        <v>10000</v>
      </c>
      <c r="D50" t="n" s="293">
        <f>IF(A50=0,"N/A",$E$24/A50)</f>
        <v>2205.46</v>
      </c>
      <c r="E50" t="n" s="293">
        <f>$E$24-C50</f>
        <v>34109.2</v>
      </c>
      <c r="F50" t="n" s="293">
        <f>C50*'Assumptions'!$B$40</f>
        <v>120000</v>
      </c>
    </row>
    <row r="51" ht="28" customHeight="1">
      <c r="A51" t="n" s="245">
        <f>'Assumptions'!$B$6*3/3</f>
        <v>30</v>
      </c>
      <c r="B51" t="n" s="295">
        <f>IF('Assumptions'!$B$6=0,"N/A",A51/'Assumptions'!$B$6)</f>
        <v>1</v>
      </c>
      <c r="C51" t="n" s="293">
        <f>A51*'Assumptions'!$B$34</f>
        <v>15000</v>
      </c>
      <c r="D51" t="n" s="293">
        <f>IF(A51=0,"N/A",$E$24/A51)</f>
        <v>1470.3066666666666</v>
      </c>
      <c r="E51" t="n" s="293">
        <f>$E$24-C51</f>
        <v>29109.199999999997</v>
      </c>
      <c r="F51" t="n" s="293">
        <f>C51*'Assumptions'!$B$40</f>
        <v>180000</v>
      </c>
    </row>
    <row r="53" ht="58" customHeight="1">
      <c r="A53" t="str" s="243">
        <v>Comparison counts</v>
      </c>
      <c r="B53" s="243"/>
      <c r="C53" t="str" s="209">
        <v>Illustrations are zero, one-third, two-thirds and full bed capacity; fractional results represent average occupancy if capacity is not divisible by three. Active resident count remains Assumptions!B7.</v>
      </c>
      <c r="D53" s="209"/>
      <c r="E53" s="209"/>
      <c r="F53" s="209"/>
    </row>
    <row r="55" ht="24" customHeight="1">
      <c r="A55" t="str" s="202">
        <v>Reconciliation checks — arithmetic, not quote validation</v>
      </c>
      <c r="B55" s="203"/>
      <c r="C55" s="203"/>
      <c r="D55" s="203"/>
      <c r="E55" s="203"/>
      <c r="F55" s="203"/>
    </row>
    <row r="56" ht="32" customHeight="1">
      <c r="A56" t="str" s="203">
        <v>Check</v>
      </c>
      <c r="B56" t="str" s="203">
        <v>Status</v>
      </c>
      <c r="C56" t="str" s="203">
        <v>Delta / result</v>
      </c>
    </row>
    <row r="57" ht="32" customHeight="1">
      <c r="A57" t="str" s="253">
        <v>Payroll base</v>
      </c>
      <c r="B57" t="str" s="297">
        <f>IF(ABS(C57)&lt;0.000001,"PASS","CHECK")</f>
        <v>PASS</v>
      </c>
      <c r="C57" t="n" s="296">
        <f>'Payroll &amp; Staffing'!B15-SUMPRODUCT('Assumptions'!B45:B50,'Assumptions'!C45:C50)</f>
        <v>0</v>
      </c>
    </row>
    <row r="58" ht="32" customHeight="1">
      <c r="A58" t="str" s="253">
        <v>Payroll burden</v>
      </c>
      <c r="B58" t="str" s="297">
        <f>IF(ABS(C58)&lt;0.000001,"PASS","CHECK")</f>
        <v>PASS</v>
      </c>
      <c r="C58" t="n" s="296">
        <f>'Payroll &amp; Staffing'!F12-'Payroll &amp; Staffing'!B15*(1+'Assumptions'!B29)</f>
        <v>0</v>
      </c>
    </row>
    <row r="59" ht="32" customHeight="1">
      <c r="A59" t="str" s="253">
        <v>Payroll annual / monthly</v>
      </c>
      <c r="B59" t="str" s="297">
        <f>IF(ABS(C59)&lt;0.000001,"PASS","CHECK")</f>
        <v>PASS</v>
      </c>
      <c r="C59" t="n" s="296">
        <f>'Payroll &amp; Staffing'!F12-'Payroll &amp; Staffing'!G12*'Assumptions'!B40</f>
        <v>0</v>
      </c>
    </row>
    <row r="60" ht="32" customHeight="1">
      <c r="A60" t="str" s="253">
        <v>Operating monthly / annual</v>
      </c>
      <c r="B60" t="str" s="297">
        <f>IF(ABS(C60)&lt;0.000001,"PASS","CHECK")</f>
        <v>PASS</v>
      </c>
      <c r="C60" t="n" s="296">
        <f>B30-E24*'Assumptions'!B40</f>
        <v>0</v>
      </c>
    </row>
    <row r="61" ht="32" customHeight="1">
      <c r="A61" t="str" s="253">
        <v>Capital-side operating tie</v>
      </c>
      <c r="B61" t="str" s="297">
        <f>IF(ABS(C61)&lt;0.000001,"PASS","CHECK")</f>
        <v>PASS</v>
      </c>
      <c r="C61" t="n" s="296">
        <f>'Capital vs Operating'!H11-B30</f>
        <v>0</v>
      </c>
    </row>
    <row r="62" ht="32" customHeight="1">
      <c r="A62" t="str" s="253">
        <v>Resident revenue</v>
      </c>
      <c r="B62" t="str" s="297">
        <f>IF(ABS(C62)&lt;0.000001,"PASS","CHECK")</f>
        <v>PASS</v>
      </c>
      <c r="C62" t="n" s="296">
        <f>B38-'Assumptions'!B7*'Assumptions'!B34</f>
        <v>0</v>
      </c>
    </row>
    <row r="63" ht="32" customHeight="1">
      <c r="A63" t="str" s="253">
        <v>Revenue annualization</v>
      </c>
      <c r="B63" t="str" s="297">
        <f>IF(ABS(C63)&lt;0.000001,"PASS","CHECK")</f>
        <v>PASS</v>
      </c>
      <c r="C63" t="n" s="296">
        <f>C38-B38*'Assumptions'!B40</f>
        <v>0</v>
      </c>
    </row>
    <row r="64" ht="32" customHeight="1">
      <c r="A64" t="str" s="253">
        <v>Funding gap</v>
      </c>
      <c r="B64" t="str" s="297">
        <f>IF(ABS(C64)&lt;0.000001,"PASS","CHECK")</f>
        <v>PASS</v>
      </c>
      <c r="C64" t="n" s="296">
        <f>B39-(E24-B38)</f>
        <v>0</v>
      </c>
    </row>
    <row r="65" ht="32" customHeight="1">
      <c r="A65" t="str" s="253">
        <v>Capital expected detail</v>
      </c>
      <c r="B65" t="str" s="297">
        <f>IF(ABS(C65)&lt;0.000001,"PASS","CHECK")</f>
        <v>PASS</v>
      </c>
      <c r="C65" t="n" s="296">
        <f>'Capital vs Operating'!C10-SUM('Assumptions'!C55:C60)</f>
        <v>0</v>
      </c>
    </row>
    <row r="66" ht="32" customHeight="1">
      <c r="A66" t="str" s="253">
        <v>Reserve / capitalization</v>
      </c>
      <c r="B66" t="str" s="297">
        <f>IF(ABS(C66)&lt;0.000001,"PASS","CHECK")</f>
        <v>PASS</v>
      </c>
      <c r="C66" t="n" s="296">
        <f>'Capital vs Operating'!C12-('Capital vs Operating'!C10+'Assumptions'!B35)</f>
        <v>0</v>
      </c>
    </row>
    <row r="67" ht="32" customHeight="1">
      <c r="A67" t="str" s="253">
        <v>Dashboard capitalization</v>
      </c>
      <c r="B67" t="str" s="297">
        <f>IF(ABS(C67)&lt;0.000001,"PASS","CHECK")</f>
        <v>PASS</v>
      </c>
      <c r="C67" t="n" s="296">
        <f>'Dashboard'!A9-'Capital vs Operating'!C12</f>
        <v>0</v>
      </c>
    </row>
    <row r="68" ht="32" customHeight="1">
      <c r="A68" t="str" s="253">
        <v>Dashboard operations</v>
      </c>
      <c r="B68" t="str" s="297">
        <f>IF(ABS(C68)&lt;0.000001,"PASS","CHECK")</f>
        <v>PASS</v>
      </c>
      <c r="C68" t="n" s="296">
        <f>ABS('Dashboard'!A5-E24)+ABS('Dashboard'!C5-B30)</f>
        <v>0</v>
      </c>
    </row>
    <row r="69" ht="32" customHeight="1">
      <c r="A69" t="str" s="253">
        <v>Five-year starting tie</v>
      </c>
      <c r="B69" t="str" s="297">
        <f>IF(ABS(C69)&lt;0.000001,"PASS","CHECK")</f>
        <v>PASS</v>
      </c>
      <c r="C69" t="n" s="296">
        <f>'5-Year Projection'!G6-B30</f>
        <v>1.1641532182693481e-10</v>
      </c>
    </row>
    <row r="70" ht="32" customHeight="1">
      <c r="A70" t="str" s="253">
        <v>Selected fuel projection</v>
      </c>
      <c r="B70" t="str" s="297">
        <f>IF(ABS(C70)&lt;0.000001,"PASS","CHECK")</f>
        <v>PASS</v>
      </c>
      <c r="C70" t="n" s="296">
        <f>INDEX('5-Year Projection'!J6:J8,MATCH('Assumptions'!B4,{"All-Electric","Natural Gas","Propane"},0),1)-B30</f>
        <v>0</v>
      </c>
    </row>
    <row r="71" ht="32" customHeight="1">
      <c r="A71" t="str" s="253">
        <v>All scenario payroll ties</v>
      </c>
      <c r="B71" t="str" s="297">
        <f>IF(ABS(C71)&lt;0.000001,"PASS","CHECK")</f>
        <v>PASS</v>
      </c>
      <c r="C71" t="n" s="296">
        <f>ABS('Scenario Model'!B17-SUM('Scenario Model'!B5:B16)-'Payroll &amp; Staffing'!G12)+ABS('Scenario Model'!C17-SUM('Scenario Model'!C5:C16)-'Payroll &amp; Staffing'!G12)+ABS('Scenario Model'!D17-SUM('Scenario Model'!D5:D16)-'Payroll &amp; Staffing'!G12)+ABS('Scenario Model'!F17-SUM('Scenario Model'!F5:F16)-'Payroll &amp; Staffing'!G12)+ABS('Scenario Model'!G17-SUM('Scenario Model'!G5:G16)-'Payroll &amp; Staffing'!G12)+ABS('Scenario Model'!H17-SUM('Scenario Model'!H5:H16)-'Payroll &amp; Staffing'!G12)+ABS('Scenario Model'!J17-SUM('Scenario Model'!J5:J16)-'Payroll &amp; Staffing'!G12)+ABS('Scenario Model'!K17-SUM('Scenario Model'!K5:K16)-'Payroll &amp; Staffing'!G12)+ABS('Scenario Model'!L17-SUM('Scenario Model'!L5:L16)-'Payroll &amp; Staffing'!G12)</f>
        <v>0</v>
      </c>
    </row>
    <row r="72" ht="32" customHeight="1">
      <c r="A72" t="str" s="253">
        <v>Operating selection tie</v>
      </c>
      <c r="B72" t="str" s="297">
        <f>IF(ABS(C72)&lt;0.000001,"PASS","CHECK")</f>
        <v>PASS</v>
      </c>
      <c r="C72" t="n" s="296">
        <f>IF('Assumptions'!B4="All-Electric",INDEX('Scenario Model'!B17:D17,1,H1),IF('Assumptions'!B4="Natural Gas",INDEX('Scenario Model'!F17:H17,1,H1),INDEX('Scenario Model'!J17:L17,1,H1)))-E24</f>
        <v>0</v>
      </c>
    </row>
    <row r="73" ht="32" customHeight="1">
      <c r="A73" t="str" s="253">
        <v>Occupancy limits</v>
      </c>
      <c r="B73" t="str" s="297">
        <f>IF(ABS(C73)&lt;0.000001,"PASS","CHECK")</f>
        <v>PASS</v>
      </c>
      <c r="C73" t="n" s="296">
        <f>IF(AND('Assumptions'!B6&gt;=0,'Assumptions'!B7&gt;=0,'Assumptions'!B7&lt;='Assumptions'!B6,MOD('Assumptions'!B7,1)=0),0,1)</f>
        <v>0</v>
      </c>
    </row>
    <row r="74" ht="32" customHeight="1">
      <c r="A74" t="str" s="253">
        <v>Capital low / high ties</v>
      </c>
      <c r="B74" t="str" s="297">
        <f>IF(ABS(C74)&lt;0.000001,"PASS","CHECK")</f>
        <v>PASS</v>
      </c>
      <c r="C74" t="n" s="296">
        <f>ABS('Capital vs Operating'!B10-SUM('Assumptions'!B55:B60))+ABS('Capital vs Operating'!D10-SUM('Assumptions'!D55:D60))</f>
        <v>0</v>
      </c>
    </row>
    <row r="76" ht="32" customHeight="1">
      <c r="A76" t="str" s="298">
        <v>CALCULATION STATUS</v>
      </c>
      <c r="B76" t="str" s="203">
        <f>IF(COUNTIF(B57:B74,"PASS")=ROWS(B57:B74),"PASS","CHECK")</f>
        <v>PASS</v>
      </c>
    </row>
    <row r="78" ht="58" customHeight="1">
      <c r="A78" t="str" s="243">
        <v>Professional status</v>
      </c>
      <c r="B78" s="243"/>
      <c r="C78" t="str" s="209">
        <v>Pending professional validation. PASS means the arithmetic checks agree; it does not certify scope coverage, quotations, cash timing or complete funding. Review Assumptions rows 75–82.</v>
      </c>
      <c r="D78" s="209"/>
      <c r="E78" s="209"/>
      <c r="F78" s="209"/>
    </row>
  </sheetData>
  <sheetProtection sheet="1" objects="1" scenarios="1" formatCells="1" formatColumns="0" formatRows="0" insertColumns="1" insertRows="1" deleteColumns="1" deleteRows="1" selectLockedCells="0" selectUnlockedCells="0" sort="1" autoFilter="0"/>
  <mergeCells count="10">
    <mergeCell ref="A1:F1"/>
    <mergeCell ref="A34:F34"/>
    <mergeCell ref="A44:B44"/>
    <mergeCell ref="C44:F44"/>
    <mergeCell ref="A46:F46"/>
    <mergeCell ref="A53:B53"/>
    <mergeCell ref="C53:F53"/>
    <mergeCell ref="A55:F55"/>
    <mergeCell ref="A78:B78"/>
    <mergeCell ref="C78:F78"/>
  </mergeCells>
  <conditionalFormatting sqref="C7:E9 C10:C12 E10:E13 C15:C20 E15:E24 B27:B32">
    <cfRule type="cellIs" dxfId="3" priority="1" operator="lessThan" stopIfTrue="1">
      <formula>0</formula>
    </cfRule>
  </conditionalFormatting>
  <pageMargins left="0.75" right="0.75" top="1" bottom="1" header="0.511806" footer="0.511806"/>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dimension ref="A1:L28"/>
  <sheetViews>
    <sheetView workbookViewId="0" showGridLines="0" defaultGridColor="1"/>
  </sheetViews>
  <sheetFormatPr defaultColWidth="8.83333" defaultRowHeight="15" customHeight="1" outlineLevelRow="0" outlineLevelCol="0"/>
  <cols>
    <col min="1" max="1" width="32.1719" style="124" customWidth="1"/>
    <col min="2" max="2" width="11.3516" style="124" customWidth="1"/>
    <col min="3" max="4" width="14.1719" style="124" customWidth="1"/>
    <col min="5" max="5" width="3" style="124" customWidth="1"/>
    <col min="6" max="6" width="11.1719" style="124" customWidth="1"/>
    <col min="7" max="8" width="14.1719" style="124" customWidth="1"/>
    <col min="9" max="9" width="3" style="124" customWidth="1"/>
    <col min="10" max="10" width="11.1719" style="124" customWidth="1"/>
    <col min="11" max="11" width="12.6719" style="124" customWidth="1"/>
    <col min="12" max="12" width="12.3516" style="124" customWidth="1"/>
    <col min="13" max="16384" width="8.85156" style="124" customWidth="1"/>
  </cols>
  <sheetData>
    <row r="1" ht="27.75" customHeight="1">
      <c r="A1" t="s" s="210">
        <v>247</v>
      </c>
      <c r="B1" s="211"/>
      <c r="C1" s="211"/>
      <c r="D1" s="211"/>
      <c r="E1" s="211"/>
      <c r="F1" s="211"/>
      <c r="G1" s="211"/>
      <c r="H1" s="211"/>
      <c r="I1" s="211"/>
      <c r="J1" s="211"/>
      <c r="K1" s="211"/>
      <c r="L1" s="212"/>
    </row>
    <row r="2" ht="20" customHeight="1">
      <c r="A2" s="213"/>
      <c r="B2" s="214"/>
      <c r="C2" s="214"/>
      <c r="D2" s="214"/>
      <c r="E2" s="214"/>
      <c r="F2" s="214"/>
      <c r="G2" s="214"/>
      <c r="H2" s="214"/>
      <c r="I2" s="214"/>
      <c r="J2" s="214"/>
      <c r="K2" s="214"/>
      <c r="L2" s="215"/>
    </row>
    <row r="3" ht="20" customHeight="1">
      <c r="A3" t="s" s="321">
        <v>227</v>
      </c>
      <c r="B3" t="s" s="322">
        <v>156</v>
      </c>
      <c r="C3" s="323"/>
      <c r="D3" s="323"/>
      <c r="E3" s="324"/>
      <c r="F3" t="s" s="322">
        <v>157</v>
      </c>
      <c r="G3" s="323"/>
      <c r="H3" s="323"/>
      <c r="I3" s="324"/>
      <c r="J3" t="s" s="322">
        <v>158</v>
      </c>
      <c r="K3" s="323"/>
      <c r="L3" s="325"/>
    </row>
    <row r="4" ht="20" customHeight="1">
      <c r="A4" s="326"/>
      <c r="B4" t="s" s="320">
        <v>153</v>
      </c>
      <c r="C4" t="s" s="320">
        <v>154</v>
      </c>
      <c r="D4" t="s" s="320">
        <v>155</v>
      </c>
      <c r="E4" s="327"/>
      <c r="F4" t="s" s="320">
        <v>153</v>
      </c>
      <c r="G4" t="s" s="320">
        <v>154</v>
      </c>
      <c r="H4" t="s" s="320">
        <v>155</v>
      </c>
      <c r="I4" s="327"/>
      <c r="J4" t="s" s="320">
        <v>153</v>
      </c>
      <c r="K4" t="s" s="320">
        <v>154</v>
      </c>
      <c r="L4" t="s" s="328">
        <v>155</v>
      </c>
    </row>
    <row r="5" ht="20" customHeight="1">
      <c r="A5" t="s" s="329">
        <v>232</v>
      </c>
      <c r="B5" s="330" cm="1">
        <f t="array" ref="B5">IF("All-Electric"="All-Electric",INDEX('Assumptions'!$C$16:$E$16,1,1)*'Assumptions'!$B$9,INDEX('Assumptions'!$C$17:$E$17,1,1)*'Assumptions'!$B$9)</f>
        <v>2775</v>
      </c>
      <c r="C5" s="330" cm="1">
        <f t="array" ref="C5">IF("All-Electric"="All-Electric",INDEX('Assumptions'!$C$16:$E$16,1,2)*'Assumptions'!$B$9,INDEX('Assumptions'!$C$17:$E$17,1,2)*'Assumptions'!$B$9)</f>
        <v>2775.15</v>
      </c>
      <c r="D5" s="330" cm="1">
        <f t="array" ref="D5">IF("All-Electric"="All-Electric",INDEX('Assumptions'!$C$16:$E$16,1,3)*'Assumptions'!$B$9,INDEX('Assumptions'!$C$17:$E$17,1,3)*'Assumptions'!$B$9)</f>
        <v>2775.2999999999997</v>
      </c>
      <c r="E5" s="327"/>
      <c r="F5" s="330" cm="1">
        <f t="array" ref="F5">IF("Natural Gas"="All-Electric",INDEX('Assumptions'!$C$16:$E$16,1,1)*'Assumptions'!$B$9,INDEX('Assumptions'!$C$17:$E$17,1,1)*'Assumptions'!$B$9)</f>
        <v>2325</v>
      </c>
      <c r="G5" s="330" cm="1">
        <f t="array" ref="G5">IF("Natural Gas"="All-Electric",INDEX('Assumptions'!$C$16:$E$16,1,2)*'Assumptions'!$B$9,INDEX('Assumptions'!$C$17:$E$17,1,2)*'Assumptions'!$B$9)</f>
        <v>2625</v>
      </c>
      <c r="H5" s="330" cm="1">
        <f t="array" ref="H5">IF("Natural Gas"="All-Electric",INDEX('Assumptions'!$C$16:$E$16,1,3)*'Assumptions'!$B$9,INDEX('Assumptions'!$C$17:$E$17,1,3)*'Assumptions'!$B$9)</f>
        <v>3000</v>
      </c>
      <c r="I5" s="327"/>
      <c r="J5" s="330" cm="1">
        <f t="array" ref="J5">IF("Propane"="All-Electric",INDEX('Assumptions'!$C$16:$E$16,1,1)*'Assumptions'!$B$9,INDEX('Assumptions'!$C$17:$E$17,1,1)*'Assumptions'!$B$9)</f>
        <v>2325</v>
      </c>
      <c r="K5" s="330" cm="1">
        <f t="array" ref="K5">IF("Propane"="All-Electric",INDEX('Assumptions'!$C$16:$E$16,1,2)*'Assumptions'!$B$9,INDEX('Assumptions'!$C$17:$E$17,1,2)*'Assumptions'!$B$9)</f>
        <v>2625</v>
      </c>
      <c r="L5" s="331" cm="1">
        <f t="array" ref="L5">IF("Propane"="All-Electric",INDEX('Assumptions'!$C$16:$E$16,1,3)*'Assumptions'!$B$9,INDEX('Assumptions'!$C$17:$E$17,1,3)*'Assumptions'!$B$9)</f>
        <v>3000</v>
      </c>
    </row>
    <row r="6" ht="20" customHeight="1">
      <c r="A6" t="s" s="329">
        <v>157</v>
      </c>
      <c r="B6" s="330" cm="1">
        <f t="array" ref="B6">IF("All-Electric"="Natural Gas",INDEX('Assumptions'!$C$18:$E$18,1,1)*'Assumptions'!$B$10,0)</f>
        <v>0</v>
      </c>
      <c r="C6" s="330" cm="1">
        <f t="array" ref="C6">IF("All-Electric"="Natural Gas",INDEX('Assumptions'!$C$18:$E$18,1,2)*'Assumptions'!$B$10,0)</f>
        <v>0</v>
      </c>
      <c r="D6" s="330" cm="1">
        <f t="array" ref="D6">IF("All-Electric"="Natural Gas",INDEX('Assumptions'!$C$18:$E$18,1,3)*'Assumptions'!$B$10,0)</f>
        <v>0</v>
      </c>
      <c r="E6" s="327"/>
      <c r="F6" s="330" cm="1">
        <f t="array" ref="F6">IF("Natural Gas"="Natural Gas",INDEX('Assumptions'!$C$18:$E$18,1,1)*'Assumptions'!$B$10,0)</f>
        <v>525</v>
      </c>
      <c r="G6" s="330" cm="1">
        <f t="array" ref="G6">IF("Natural Gas"="Natural Gas",INDEX('Assumptions'!$C$18:$E$18,1,2)*'Assumptions'!$B$10,0)</f>
        <v>787.5</v>
      </c>
      <c r="H6" s="330" cm="1">
        <f t="array" ref="H6">IF("Natural Gas"="Natural Gas",INDEX('Assumptions'!$C$18:$E$18,1,3)*'Assumptions'!$B$10,0)</f>
        <v>1050</v>
      </c>
      <c r="I6" s="327"/>
      <c r="J6" s="330" cm="1">
        <f t="array" ref="J6">IF("Propane"="Natural Gas",INDEX('Assumptions'!$C$18:$E$18,1,1)*'Assumptions'!$B$10,0)</f>
        <v>0</v>
      </c>
      <c r="K6" s="330" cm="1">
        <f t="array" ref="K6">IF("Propane"="Natural Gas",INDEX('Assumptions'!$C$18:$E$18,1,2)*'Assumptions'!$B$10,0)</f>
        <v>0</v>
      </c>
      <c r="L6" s="331" cm="1">
        <f t="array" ref="L6">IF("Propane"="Natural Gas",INDEX('Assumptions'!$C$18:$E$18,1,3)*'Assumptions'!$B$10,0)</f>
        <v>0</v>
      </c>
    </row>
    <row r="7" ht="20" customHeight="1">
      <c r="A7" t="s" s="329">
        <v>158</v>
      </c>
      <c r="B7" s="330" cm="1">
        <f t="array" ref="B7">IF("All-Electric"="Propane",INDEX('Assumptions'!$C$19:$E$19,1,1)*'Assumptions'!$B$11,0)</f>
        <v>0</v>
      </c>
      <c r="C7" s="330" cm="1">
        <f t="array" ref="C7">IF("All-Electric"="Propane",INDEX('Assumptions'!$C$19:$E$19,1,2)*'Assumptions'!$B$11,0)</f>
        <v>0</v>
      </c>
      <c r="D7" s="330" cm="1">
        <f t="array" ref="D7">IF("All-Electric"="Propane",INDEX('Assumptions'!$C$19:$E$19,1,3)*'Assumptions'!$B$11,0)</f>
        <v>0</v>
      </c>
      <c r="E7" s="327"/>
      <c r="F7" s="330" cm="1">
        <f t="array" ref="F7">IF("Natural Gas"="Propane",INDEX('Assumptions'!$C$19:$E$19,1,1)*'Assumptions'!$B$11,0)</f>
        <v>0</v>
      </c>
      <c r="G7" s="330" cm="1">
        <f t="array" ref="G7">IF("Natural Gas"="Propane",INDEX('Assumptions'!$C$19:$E$19,1,2)*'Assumptions'!$B$11,0)</f>
        <v>0</v>
      </c>
      <c r="H7" s="330" cm="1">
        <f t="array" ref="H7">IF("Natural Gas"="Propane",INDEX('Assumptions'!$C$19:$E$19,1,3)*'Assumptions'!$B$11,0)</f>
        <v>0</v>
      </c>
      <c r="I7" s="327"/>
      <c r="J7" s="330" cm="1">
        <f t="array" ref="J7">IF("Propane"="Propane",INDEX('Assumptions'!$C$19:$E$19,1,1)*'Assumptions'!$B$11,0)</f>
        <v>970.1999999999999</v>
      </c>
      <c r="K7" s="330" cm="1">
        <f t="array" ref="K7">IF("Propane"="Propane",INDEX('Assumptions'!$C$19:$E$19,1,2)*'Assumptions'!$B$11,0)</f>
        <v>1470</v>
      </c>
      <c r="L7" s="331" cm="1">
        <f t="array" ref="L7">IF("Propane"="Propane",INDEX('Assumptions'!$C$19:$E$19,1,3)*'Assumptions'!$B$11,0)</f>
        <v>1911</v>
      </c>
    </row>
    <row r="8" ht="20" customHeight="1">
      <c r="A8" t="s" s="329">
        <v>188</v>
      </c>
      <c r="B8" s="330" cm="1">
        <f t="array" ref="B8">INDEX('Assumptions'!$C$20:$E$20,1,1)</f>
        <v>250</v>
      </c>
      <c r="C8" s="330" cm="1">
        <f t="array" ref="C8">INDEX('Assumptions'!$C$20:$E$20,1,2)</f>
        <v>400</v>
      </c>
      <c r="D8" s="330" cm="1">
        <f t="array" ref="D8">INDEX('Assumptions'!$C$20:$E$20,1,3)</f>
        <v>500</v>
      </c>
      <c r="E8" s="327"/>
      <c r="F8" s="330" cm="1">
        <f t="array" ref="F8">INDEX('Assumptions'!$C$20:$E$20,1,1)</f>
        <v>250</v>
      </c>
      <c r="G8" s="330" cm="1">
        <f t="array" ref="G8">INDEX('Assumptions'!$C$20:$E$20,1,2)</f>
        <v>400</v>
      </c>
      <c r="H8" s="330" cm="1">
        <f t="array" ref="H8">INDEX('Assumptions'!$C$20:$E$20,1,3)</f>
        <v>500</v>
      </c>
      <c r="I8" s="327"/>
      <c r="J8" s="330" cm="1">
        <f t="array" ref="J8">INDEX('Assumptions'!$C$20:$E$20,1,1)</f>
        <v>250</v>
      </c>
      <c r="K8" s="330" cm="1">
        <f t="array" ref="K8">INDEX('Assumptions'!$C$20:$E$20,1,2)</f>
        <v>400</v>
      </c>
      <c r="L8" s="331" cm="1">
        <f t="array" ref="L8">INDEX('Assumptions'!$C$20:$E$20,1,3)</f>
        <v>500</v>
      </c>
    </row>
    <row r="9" ht="20" customHeight="1">
      <c r="A9" t="s" s="329">
        <v>190</v>
      </c>
      <c r="B9" s="330" cm="1">
        <f t="array" ref="B9">INDEX('Assumptions'!$C$21:$E$21,1,1)</f>
        <v>300</v>
      </c>
      <c r="C9" s="330" cm="1">
        <f t="array" ref="C9">INDEX('Assumptions'!$C$21:$E$21,1,2)</f>
        <v>500</v>
      </c>
      <c r="D9" s="330" cm="1">
        <f t="array" ref="D9">INDEX('Assumptions'!$C$21:$E$21,1,3)</f>
        <v>1000</v>
      </c>
      <c r="E9" s="327"/>
      <c r="F9" s="330" cm="1">
        <f t="array" ref="F9">INDEX('Assumptions'!$C$21:$E$21,1,1)</f>
        <v>300</v>
      </c>
      <c r="G9" s="330" cm="1">
        <f t="array" ref="G9">INDEX('Assumptions'!$C$21:$E$21,1,2)</f>
        <v>500</v>
      </c>
      <c r="H9" s="330" cm="1">
        <f t="array" ref="H9">INDEX('Assumptions'!$C$21:$E$21,1,3)</f>
        <v>1000</v>
      </c>
      <c r="I9" s="327"/>
      <c r="J9" s="330" cm="1">
        <f t="array" ref="J9">INDEX('Assumptions'!$C$21:$E$21,1,1)</f>
        <v>300</v>
      </c>
      <c r="K9" s="330" cm="1">
        <f t="array" ref="K9">INDEX('Assumptions'!$C$21:$E$21,1,2)</f>
        <v>500</v>
      </c>
      <c r="L9" s="331" cm="1">
        <f t="array" ref="L9">INDEX('Assumptions'!$C$21:$E$21,1,3)</f>
        <v>1000</v>
      </c>
    </row>
    <row r="10" ht="20" customHeight="1">
      <c r="A10" t="s" s="329">
        <v>191</v>
      </c>
      <c r="B10" s="330" cm="1">
        <f t="array" ref="B10">INDEX('Assumptions'!$C$22:$E$22,1,1)</f>
        <v>301</v>
      </c>
      <c r="C10" s="330" cm="1">
        <f t="array" ref="C10">INDEX('Assumptions'!$C$22:$E$22,1,2)</f>
        <v>451</v>
      </c>
      <c r="D10" s="330" cm="1">
        <f t="array" ref="D10">INDEX('Assumptions'!$C$22:$E$22,1,3)</f>
        <v>601</v>
      </c>
      <c r="E10" s="327"/>
      <c r="F10" s="330" cm="1">
        <f t="array" ref="F10">INDEX('Assumptions'!$C$22:$E$22,1,1)</f>
        <v>301</v>
      </c>
      <c r="G10" s="330" cm="1">
        <f t="array" ref="G10">INDEX('Assumptions'!$C$22:$E$22,1,2)</f>
        <v>451</v>
      </c>
      <c r="H10" s="330" cm="1">
        <f t="array" ref="H10">INDEX('Assumptions'!$C$22:$E$22,1,3)</f>
        <v>601</v>
      </c>
      <c r="I10" s="327"/>
      <c r="J10" s="330" cm="1">
        <f t="array" ref="J10">INDEX('Assumptions'!$C$22:$E$22,1,1)</f>
        <v>301</v>
      </c>
      <c r="K10" s="330" cm="1">
        <f t="array" ref="K10">INDEX('Assumptions'!$C$22:$E$22,1,2)</f>
        <v>451</v>
      </c>
      <c r="L10" s="331" cm="1">
        <f t="array" ref="L10">INDEX('Assumptions'!$C$22:$E$22,1,3)</f>
        <v>601</v>
      </c>
    </row>
    <row r="11" ht="20" customHeight="1">
      <c r="A11" t="s" s="329">
        <v>192</v>
      </c>
      <c r="B11" s="330" cm="1">
        <f t="array" ref="B11">INDEX('Assumptions'!$C$23:$E$23,1,1)</f>
        <v>331</v>
      </c>
      <c r="C11" s="330" cm="1">
        <f t="array" ref="C11">INDEX('Assumptions'!$C$23:$E$23,1,2)</f>
        <v>501</v>
      </c>
      <c r="D11" s="330" cm="1">
        <f t="array" ref="D11">INDEX('Assumptions'!$C$23:$E$23,1,3)</f>
        <v>651</v>
      </c>
      <c r="E11" s="327"/>
      <c r="F11" s="330" cm="1">
        <f t="array" ref="F11">INDEX('Assumptions'!$C$23:$E$23,1,1)</f>
        <v>331</v>
      </c>
      <c r="G11" s="330" cm="1">
        <f t="array" ref="G11">INDEX('Assumptions'!$C$23:$E$23,1,2)</f>
        <v>501</v>
      </c>
      <c r="H11" s="330" cm="1">
        <f t="array" ref="H11">INDEX('Assumptions'!$C$23:$E$23,1,3)</f>
        <v>651</v>
      </c>
      <c r="I11" s="327"/>
      <c r="J11" s="330" cm="1">
        <f t="array" ref="J11">INDEX('Assumptions'!$C$23:$E$23,1,1)</f>
        <v>331</v>
      </c>
      <c r="K11" s="330" cm="1">
        <f t="array" ref="K11">INDEX('Assumptions'!$C$23:$E$23,1,2)</f>
        <v>501</v>
      </c>
      <c r="L11" s="331" cm="1">
        <f t="array" ref="L11">INDEX('Assumptions'!$C$23:$E$23,1,3)</f>
        <v>651</v>
      </c>
    </row>
    <row r="12" ht="20" customHeight="1">
      <c r="A12" t="s" s="329">
        <v>193</v>
      </c>
      <c r="B12" s="330" cm="1">
        <f t="array" ref="B12">INDEX('Assumptions'!$C$24:$E$24,1,1)</f>
        <v>500</v>
      </c>
      <c r="C12" s="330" cm="1">
        <f t="array" ref="C12">INDEX('Assumptions'!$C$24:$E$24,1,2)</f>
        <v>750</v>
      </c>
      <c r="D12" s="330" cm="1">
        <f t="array" ref="D12">INDEX('Assumptions'!$C$24:$E$24,1,3)</f>
        <v>1000</v>
      </c>
      <c r="E12" s="327"/>
      <c r="F12" s="330" cm="1">
        <f t="array" ref="F12">INDEX('Assumptions'!$C$24:$E$24,1,1)</f>
        <v>500</v>
      </c>
      <c r="G12" s="330" cm="1">
        <f t="array" ref="G12">INDEX('Assumptions'!$C$24:$E$24,1,2)</f>
        <v>750</v>
      </c>
      <c r="H12" s="330" cm="1">
        <f t="array" ref="H12">INDEX('Assumptions'!$C$24:$E$24,1,3)</f>
        <v>1000</v>
      </c>
      <c r="I12" s="327"/>
      <c r="J12" s="330" cm="1">
        <f t="array" ref="J12">INDEX('Assumptions'!$C$24:$E$24,1,1)</f>
        <v>500</v>
      </c>
      <c r="K12" s="330" cm="1">
        <f t="array" ref="K12">INDEX('Assumptions'!$C$24:$E$24,1,2)</f>
        <v>750</v>
      </c>
      <c r="L12" s="331" cm="1">
        <f t="array" ref="L12">INDEX('Assumptions'!$C$24:$E$24,1,3)</f>
        <v>1000</v>
      </c>
    </row>
    <row r="13" ht="20" customHeight="1">
      <c r="A13" t="s" s="329">
        <v>194</v>
      </c>
      <c r="B13" s="330" cm="1">
        <f t="array" ref="B13">INDEX('Assumptions'!$C$25:$E$25,1,1)</f>
        <v>200</v>
      </c>
      <c r="C13" s="330" cm="1">
        <f t="array" ref="C13">INDEX('Assumptions'!$C$25:$E$25,1,2)</f>
        <v>400</v>
      </c>
      <c r="D13" s="330" cm="1">
        <f t="array" ref="D13">INDEX('Assumptions'!$C$25:$E$25,1,3)</f>
        <v>600</v>
      </c>
      <c r="E13" s="327"/>
      <c r="F13" s="330" cm="1">
        <f t="array" ref="F13">INDEX('Assumptions'!$C$25:$E$25,1,1)</f>
        <v>200</v>
      </c>
      <c r="G13" s="330" cm="1">
        <f t="array" ref="G13">INDEX('Assumptions'!$C$25:$E$25,1,2)</f>
        <v>400</v>
      </c>
      <c r="H13" s="330" cm="1">
        <f t="array" ref="H13">INDEX('Assumptions'!$C$25:$E$25,1,3)</f>
        <v>600</v>
      </c>
      <c r="I13" s="327"/>
      <c r="J13" s="330" cm="1">
        <f t="array" ref="J13">INDEX('Assumptions'!$C$25:$E$25,1,1)</f>
        <v>200</v>
      </c>
      <c r="K13" s="330" cm="1">
        <f t="array" ref="K13">INDEX('Assumptions'!$C$25:$E$25,1,2)</f>
        <v>400</v>
      </c>
      <c r="L13" s="331" cm="1">
        <f t="array" ref="L13">INDEX('Assumptions'!$C$25:$E$25,1,3)</f>
        <v>600</v>
      </c>
    </row>
    <row r="14" ht="20" customHeight="1">
      <c r="A14" t="s" s="329">
        <v>195</v>
      </c>
      <c r="B14" s="330" cm="1">
        <f t="array" ref="B14">INDEX('Assumptions'!$C$26:$E$26,1,1)</f>
        <v>400</v>
      </c>
      <c r="C14" s="330" cm="1">
        <f t="array" ref="C14">INDEX('Assumptions'!$C$26:$E$26,1,2)</f>
        <v>600</v>
      </c>
      <c r="D14" s="330" cm="1">
        <f t="array" ref="D14">INDEX('Assumptions'!$C$26:$E$26,1,3)</f>
        <v>800</v>
      </c>
      <c r="E14" s="327"/>
      <c r="F14" s="330" cm="1">
        <f t="array" ref="F14">INDEX('Assumptions'!$C$26:$E$26,1,1)</f>
        <v>400</v>
      </c>
      <c r="G14" s="330" cm="1">
        <f t="array" ref="G14">INDEX('Assumptions'!$C$26:$E$26,1,2)</f>
        <v>600</v>
      </c>
      <c r="H14" s="330" cm="1">
        <f t="array" ref="H14">INDEX('Assumptions'!$C$26:$E$26,1,3)</f>
        <v>800</v>
      </c>
      <c r="I14" s="327"/>
      <c r="J14" s="330" cm="1">
        <f t="array" ref="J14">INDEX('Assumptions'!$C$26:$E$26,1,1)</f>
        <v>400</v>
      </c>
      <c r="K14" s="330" cm="1">
        <f t="array" ref="K14">INDEX('Assumptions'!$C$26:$E$26,1,2)</f>
        <v>600</v>
      </c>
      <c r="L14" s="331" cm="1">
        <f t="array" ref="L14">INDEX('Assumptions'!$C$26:$E$26,1,3)</f>
        <v>800</v>
      </c>
    </row>
    <row r="15" ht="20" customHeight="1">
      <c r="A15" t="s" s="329">
        <v>196</v>
      </c>
      <c r="B15" s="330" cm="1">
        <f t="array" ref="B15">INDEX('Assumptions'!$C$27:$E$27,1,1)</f>
        <v>332</v>
      </c>
      <c r="C15" s="330" cm="1">
        <f t="array" ref="C15">INDEX('Assumptions'!$C$27:$E$27,1,2)</f>
        <v>502</v>
      </c>
      <c r="D15" s="330" cm="1">
        <f t="array" ref="D15">INDEX('Assumptions'!$C$27:$E$27,1,3)</f>
        <v>652</v>
      </c>
      <c r="E15" s="327"/>
      <c r="F15" s="330" cm="1">
        <f t="array" ref="F15">INDEX('Assumptions'!$C$27:$E$27,1,1)</f>
        <v>332</v>
      </c>
      <c r="G15" s="330" cm="1">
        <f t="array" ref="G15">INDEX('Assumptions'!$C$27:$E$27,1,2)</f>
        <v>502</v>
      </c>
      <c r="H15" s="330" cm="1">
        <f t="array" ref="H15">INDEX('Assumptions'!$C$27:$E$27,1,3)</f>
        <v>652</v>
      </c>
      <c r="I15" s="327"/>
      <c r="J15" s="330" cm="1">
        <f t="array" ref="J15">INDEX('Assumptions'!$C$27:$E$27,1,1)</f>
        <v>332</v>
      </c>
      <c r="K15" s="330" cm="1">
        <f t="array" ref="K15">INDEX('Assumptions'!$C$27:$E$27,1,2)</f>
        <v>502</v>
      </c>
      <c r="L15" s="331" cm="1">
        <f t="array" ref="L15">INDEX('Assumptions'!$C$27:$E$27,1,3)</f>
        <v>652</v>
      </c>
    </row>
    <row r="16" ht="20" customHeight="1">
      <c r="A16" t="s" s="329">
        <v>197</v>
      </c>
      <c r="B16" s="330" cm="1">
        <f t="array" ref="B16">INDEX('Assumptions'!$C$28:$E$28,1,1)</f>
        <v>1000</v>
      </c>
      <c r="C16" s="330" cm="1">
        <f t="array" ref="C16">INDEX('Assumptions'!$C$28:$E$28,1,2)</f>
        <v>2000</v>
      </c>
      <c r="D16" s="330" cm="1">
        <f t="array" ref="D16">INDEX('Assumptions'!$C$28:$E$28,1,3)</f>
        <v>3000</v>
      </c>
      <c r="E16" s="327"/>
      <c r="F16" s="330" cm="1">
        <f t="array" ref="F16">INDEX('Assumptions'!$C$28:$E$28,1,1)</f>
        <v>1000</v>
      </c>
      <c r="G16" s="330" cm="1">
        <f t="array" ref="G16">INDEX('Assumptions'!$C$28:$E$28,1,2)</f>
        <v>2000</v>
      </c>
      <c r="H16" s="330" cm="1">
        <f t="array" ref="H16">INDEX('Assumptions'!$C$28:$E$28,1,3)</f>
        <v>3000</v>
      </c>
      <c r="I16" s="327"/>
      <c r="J16" s="330" cm="1">
        <f t="array" ref="J16">INDEX('Assumptions'!$C$28:$E$28,1,1)</f>
        <v>1000</v>
      </c>
      <c r="K16" s="330" cm="1">
        <f t="array" ref="K16">INDEX('Assumptions'!$C$28:$E$28,1,2)</f>
        <v>2000</v>
      </c>
      <c r="L16" s="331" cm="1">
        <f t="array" ref="L16">INDEX('Assumptions'!$C$28:$E$28,1,3)</f>
        <v>3000</v>
      </c>
    </row>
    <row r="17" ht="20" customHeight="1">
      <c r="A17" s="319" t="str">
        <v>TOTAL incl. payroll</v>
      </c>
      <c r="B17" s="313" t="n">
        <f t="array" ref="B17">SUM(B5:B16)+'Payroll &amp; Staffing'!$G$12</f>
        <v>43589</v>
      </c>
      <c r="C17" s="313" t="n">
        <f t="array" ref="C17">SUM(C5:C16)+'Payroll &amp; Staffing'!$G$12</f>
        <v>46079.15</v>
      </c>
      <c r="D17" s="313" t="n">
        <f t="array" ref="D17">SUM(D5:D16)+'Payroll &amp; Staffing'!$G$12</f>
        <v>48779.3</v>
      </c>
      <c r="E17" s="332"/>
      <c r="F17" s="313" t="n">
        <f t="array" ref="F17">SUM(F5:F16)+'Payroll &amp; Staffing'!$G$12</f>
        <v>43664</v>
      </c>
      <c r="G17" s="313" t="n">
        <f t="array" ref="G17">SUM(G5:G16)+'Payroll &amp; Staffing'!$G$12</f>
        <v>46716.5</v>
      </c>
      <c r="H17" s="313" t="n">
        <f t="array" ref="H17">SUM(H5:H16)+'Payroll &amp; Staffing'!$G$12</f>
        <v>50054</v>
      </c>
      <c r="I17" s="332"/>
      <c r="J17" s="313" t="n">
        <f t="array" ref="J17">SUM(J5:J16)+'Payroll &amp; Staffing'!$G$12</f>
        <v>44109.2</v>
      </c>
      <c r="K17" s="313" t="n">
        <f t="array" ref="K17">SUM(K5:K16)+'Payroll &amp; Staffing'!$G$12</f>
        <v>47399</v>
      </c>
      <c r="L17" s="316" t="n">
        <f t="array" ref="L17">SUM(L5:L16)+'Payroll &amp; Staffing'!$G$12</f>
        <v>50915</v>
      </c>
    </row>
    <row r="18" ht="20" customHeight="1">
      <c r="A18" s="319" t="str">
        <v>Cost / Resident / Month</v>
      </c>
      <c r="B18" s="314" t="n">
        <f t="array" ref="B18">IF('Assumptions'!$B$7=0,"N/A",B17/'Assumptions'!$B$7)</f>
        <v>4358.9</v>
      </c>
      <c r="C18" s="314" t="n">
        <f t="array" ref="C18">IF('Assumptions'!$B$7=0,"N/A",C17/'Assumptions'!$B$7)</f>
        <v>4607.915</v>
      </c>
      <c r="D18" s="314" t="n">
        <f t="array" ref="D18">IF('Assumptions'!$B$7=0,"N/A",D17/'Assumptions'!$B$7)</f>
        <v>4877.93</v>
      </c>
      <c r="E18" s="332"/>
      <c r="F18" s="314" t="n">
        <f t="array" ref="F18">IF('Assumptions'!$B$7=0,"N/A",F17/'Assumptions'!$B$7)</f>
        <v>4366.4</v>
      </c>
      <c r="G18" s="314" t="n">
        <f t="array" ref="G18">IF('Assumptions'!$B$7=0,"N/A",G17/'Assumptions'!$B$7)</f>
        <v>4671.65</v>
      </c>
      <c r="H18" s="314" t="n">
        <f t="array" ref="H18">IF('Assumptions'!$B$7=0,"N/A",H17/'Assumptions'!$B$7)</f>
        <v>5005.4</v>
      </c>
      <c r="I18" s="332"/>
      <c r="J18" s="314" t="n">
        <f t="array" ref="J18">IF('Assumptions'!$B$7=0,"N/A",J17/'Assumptions'!$B$7)</f>
        <v>4410.92</v>
      </c>
      <c r="K18" s="314" t="n">
        <f t="array" ref="K18">IF('Assumptions'!$B$7=0,"N/A",K17/'Assumptions'!$B$7)</f>
        <v>4739.9</v>
      </c>
      <c r="L18" s="317" t="n">
        <f t="array" ref="L18">IF('Assumptions'!$B$7=0,"N/A",L17/'Assumptions'!$B$7)</f>
        <v>5091.5</v>
      </c>
    </row>
    <row r="19" ht="20" customHeight="1">
      <c r="A19" t="s" s="319">
        <v>250</v>
      </c>
      <c r="B19" s="315" t="n">
        <f t="array" ref="B19">IF('Assumptions'!$B$7=0,"N/A",B17*'Assumptions'!$B$40/'Assumptions'!$B$39/'Assumptions'!$B$7)</f>
        <v>143.306301369863</v>
      </c>
      <c r="C19" s="315" t="n">
        <f t="array" ref="C19">IF('Assumptions'!$B$7=0,"N/A",C17*'Assumptions'!$B$40/'Assumptions'!$B$39/'Assumptions'!$B$7)</f>
        <v>151.49309589041098</v>
      </c>
      <c r="D19" s="315" t="n">
        <f t="array" ref="D19">IF('Assumptions'!$B$7=0,"N/A",D17*'Assumptions'!$B$40/'Assumptions'!$B$39/'Assumptions'!$B$7)</f>
        <v>160.37030136986306</v>
      </c>
      <c r="E19" s="332"/>
      <c r="F19" s="315" t="n">
        <f t="array" ref="F19">IF('Assumptions'!$B$7=0,"N/A",F17*'Assumptions'!$B$40/'Assumptions'!$B$39/'Assumptions'!$B$7)</f>
        <v>143.55287671232878</v>
      </c>
      <c r="G19" s="315" t="n">
        <f t="array" ref="G19">IF('Assumptions'!$B$7=0,"N/A",G17*'Assumptions'!$B$40/'Assumptions'!$B$39/'Assumptions'!$B$7)</f>
        <v>153.58849315068494</v>
      </c>
      <c r="H19" s="315" t="n">
        <f t="array" ref="H19">IF('Assumptions'!$B$7=0,"N/A",H17*'Assumptions'!$B$40/'Assumptions'!$B$39/'Assumptions'!$B$7)</f>
        <v>164.56109589041097</v>
      </c>
      <c r="I19" s="332"/>
      <c r="J19" s="315" t="n">
        <f t="array" ref="J19">IF('Assumptions'!$B$7=0,"N/A",J17*'Assumptions'!$B$40/'Assumptions'!$B$39/'Assumptions'!$B$7)</f>
        <v>145.01654794520545</v>
      </c>
      <c r="K19" s="315" t="n">
        <f t="array" ref="K19">IF('Assumptions'!$B$7=0,"N/A",K17*'Assumptions'!$B$40/'Assumptions'!$B$39/'Assumptions'!$B$7)</f>
        <v>155.8323287671233</v>
      </c>
      <c r="L19" s="318" t="n">
        <f t="array" ref="L19">IF('Assumptions'!$B$7=0,"N/A",L17*'Assumptions'!$B$40/'Assumptions'!$B$39/'Assumptions'!$B$7)</f>
        <v>167.39178082191782</v>
      </c>
    </row>
    <row r="21" ht="24" customHeight="1">
      <c r="A21" t="str" s="202">
        <v>All totals include payroll; edit inputs on Assumptions</v>
      </c>
      <c r="B21" s="203"/>
      <c r="C21" s="203"/>
      <c r="D21" s="203"/>
      <c r="E21" s="203"/>
      <c r="F21" s="203"/>
      <c r="G21" s="203"/>
      <c r="H21" s="203"/>
      <c r="I21" s="203"/>
      <c r="J21" s="203"/>
      <c r="K21" s="203"/>
      <c r="L21" s="203"/>
    </row>
    <row r="22" ht="46" customHeight="1">
      <c r="A22" t="str" s="243">
        <v>Calculation basis</v>
      </c>
      <c r="B22" s="243"/>
      <c r="C22" t="str" s="209">
        <v>Rows 5–16 are non-payroll costs. Row 17 adds the linked monthly loaded payroll once. Daily costs use annual expense / 365 / occupied residents. At zero residents, per-resident costs are N/A.</v>
      </c>
      <c r="D22" s="209"/>
      <c r="E22" s="209"/>
      <c r="F22" s="209"/>
      <c r="G22" s="209"/>
      <c r="H22" s="209"/>
      <c r="I22" s="209"/>
      <c r="J22" s="209"/>
      <c r="K22" s="209"/>
      <c r="L22" s="209"/>
    </row>
    <row r="24" ht="24" customHeight="1">
      <c r="A24" t="str" s="202">
        <v>Dashboard chart source — linked totals, original fuel order</v>
      </c>
      <c r="B24" s="203"/>
      <c r="C24" s="203"/>
      <c r="D24" s="203"/>
      <c r="E24" s="203"/>
      <c r="F24" s="203"/>
      <c r="G24" s="203"/>
      <c r="H24" s="203"/>
      <c r="I24" s="203"/>
      <c r="J24" s="203"/>
      <c r="K24" s="203"/>
      <c r="L24" s="203"/>
    </row>
    <row r="25">
      <c r="A25" t="str" s="320">
        <v>Fuel option</v>
      </c>
      <c r="B25" t="str" s="320">
        <v>Low</v>
      </c>
      <c r="C25" t="str" s="320">
        <v>Expected</v>
      </c>
      <c r="D25" t="str" s="320">
        <v>High</v>
      </c>
    </row>
    <row r="26">
      <c r="A26" t="str" s="234">
        <f>'Dashboard'!A17</f>
        <v>Propane</v>
      </c>
      <c r="B26" t="n" s="235">
        <f>'Dashboard'!B17</f>
        <v>44109.2</v>
      </c>
      <c r="C26" t="n" s="235">
        <f>'Dashboard'!C17</f>
        <v>47399</v>
      </c>
      <c r="D26" t="n" s="235">
        <f>'Dashboard'!D17</f>
        <v>50915</v>
      </c>
    </row>
    <row r="27">
      <c r="A27" t="str" s="234">
        <f>'Dashboard'!A16</f>
        <v>Natural Gas</v>
      </c>
      <c r="B27" t="n" s="235">
        <f>'Dashboard'!B16</f>
        <v>43664</v>
      </c>
      <c r="C27" t="n" s="235">
        <f>'Dashboard'!C16</f>
        <v>46716.5</v>
      </c>
      <c r="D27" t="n" s="235">
        <f>'Dashboard'!D16</f>
        <v>50054</v>
      </c>
    </row>
    <row r="28">
      <c r="A28" t="str" s="234">
        <f>'Dashboard'!A15</f>
        <v>All-Electric</v>
      </c>
      <c r="B28" t="n" s="235">
        <f>'Dashboard'!B15</f>
        <v>43589</v>
      </c>
      <c r="C28" t="n" s="235">
        <f>'Dashboard'!C15</f>
        <v>46079.15</v>
      </c>
      <c r="D28" t="n" s="235">
        <f>'Dashboard'!D15</f>
        <v>48779.3</v>
      </c>
    </row>
  </sheetData>
  <sheetProtection sheet="1" objects="1" scenarios="1" formatCells="1" formatColumns="0" formatRows="0" insertColumns="1" insertRows="1" deleteColumns="1" deleteRows="1" selectLockedCells="0" selectUnlockedCells="0" sort="1" autoFilter="0"/>
  <mergeCells count="8">
    <mergeCell ref="A1:L1"/>
    <mergeCell ref="B3:D3"/>
    <mergeCell ref="F3:H3"/>
    <mergeCell ref="J3:L3"/>
    <mergeCell ref="A21:L21"/>
    <mergeCell ref="A22:B22"/>
    <mergeCell ref="C22:L22"/>
    <mergeCell ref="A24:L24"/>
  </mergeCells>
  <conditionalFormatting sqref="B5:D19 F5:H19 J5:L19">
    <cfRule type="cellIs" dxfId="4" priority="1" operator="lessThan" stopIfTrue="1">
      <formula>0</formula>
    </cfRule>
  </conditionalFormatting>
  <pageMargins left="0.75" right="0.75" top="1" bottom="1" header="0.511806" footer="0.511806"/>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dimension ref="A1:N13"/>
  <sheetViews>
    <sheetView workbookViewId="0" showGridLines="0" defaultGridColor="1"/>
  </sheetViews>
  <sheetFormatPr defaultColWidth="8.83333" defaultRowHeight="15" customHeight="1" outlineLevelRow="0" outlineLevelCol="0"/>
  <cols>
    <col min="1" max="1" width="10" style="145" customWidth="1"/>
    <col min="2" max="2" width="12.6719" style="145" customWidth="1"/>
    <col min="3" max="3" width="13.3516" style="145" customWidth="1"/>
    <col min="4" max="4" width="12" style="145" customWidth="1"/>
    <col min="5" max="5" width="19.3516" style="145" customWidth="1"/>
    <col min="6" max="6" width="17.6719" style="145" customWidth="1"/>
    <col min="7" max="7" width="16.1719" style="145" customWidth="1"/>
    <col min="8" max="8" width="3" style="145" customWidth="1"/>
    <col min="9" max="9" width="16.1719" style="145" customWidth="1"/>
    <col min="10" max="14" width="14.1719" style="145" customWidth="1"/>
    <col min="15" max="16384" width="8.85156" style="145" customWidth="1"/>
  </cols>
  <sheetData>
    <row r="1" ht="27.75" customHeight="1">
      <c r="A1" t="s" s="210">
        <v>251</v>
      </c>
      <c r="B1" s="211"/>
      <c r="C1" s="211"/>
      <c r="D1" s="211"/>
      <c r="E1" s="211"/>
      <c r="F1" s="211"/>
      <c r="G1" s="211"/>
      <c r="H1" s="211"/>
      <c r="I1" s="211"/>
      <c r="J1" s="211"/>
      <c r="K1" s="211"/>
      <c r="L1" s="211"/>
      <c r="M1" s="211"/>
      <c r="N1" s="212"/>
    </row>
    <row r="2" ht="20" customHeight="1">
      <c r="A2" s="264"/>
      <c r="B2" s="259"/>
      <c r="C2" s="259"/>
      <c r="D2" s="259"/>
      <c r="E2" s="259"/>
      <c r="F2" s="259"/>
      <c r="G2" s="259"/>
      <c r="H2" s="259"/>
      <c r="I2" s="259"/>
      <c r="J2" s="259"/>
      <c r="K2" s="259"/>
      <c r="L2" s="259"/>
      <c r="M2" s="259"/>
      <c r="N2" s="260"/>
    </row>
    <row r="3" ht="20" customHeight="1">
      <c r="A3" t="s" s="234">
        <v>225</v>
      </c>
      <c r="B3" t="str" s="334" cm="1">
        <f t="array" ref="B3">'Assumptions'!B4</f>
        <v>Propane</v>
      </c>
      <c r="C3" s="259"/>
      <c r="D3" t="s" s="240">
        <v>99</v>
      </c>
      <c r="E3" t="str" s="334" cm="1">
        <f t="array" ref="E3">'Assumptions'!B5</f>
        <v>Low</v>
      </c>
      <c r="F3" s="259"/>
      <c r="G3" s="259"/>
      <c r="H3" s="259"/>
      <c r="I3" s="259"/>
      <c r="J3" s="259"/>
      <c r="K3" s="259"/>
      <c r="L3" s="259"/>
      <c r="M3" s="259"/>
      <c r="N3" s="260"/>
    </row>
    <row r="4" ht="20" customHeight="1">
      <c r="A4" s="264"/>
      <c r="B4" s="259"/>
      <c r="C4" s="259"/>
      <c r="D4" s="259"/>
      <c r="E4" s="259"/>
      <c r="F4" s="259"/>
      <c r="G4" s="259"/>
      <c r="H4" s="259"/>
      <c r="I4" s="259"/>
      <c r="J4" s="259"/>
      <c r="K4" s="259"/>
      <c r="L4" s="259"/>
      <c r="M4" s="259"/>
      <c r="N4" s="260"/>
    </row>
    <row r="5" ht="34" customHeight="1">
      <c r="A5" t="s" s="202">
        <v>252</v>
      </c>
      <c r="B5" t="s" s="203">
        <v>232</v>
      </c>
      <c r="C5" t="s" s="203">
        <v>157</v>
      </c>
      <c r="D5" t="s" s="203">
        <v>158</v>
      </c>
      <c r="E5" t="s" s="203">
        <v>253</v>
      </c>
      <c r="F5" s="246" t="str">
        <v>Site ops + payroll</v>
      </c>
      <c r="G5" t="s" s="203">
        <v>255</v>
      </c>
      <c r="H5" s="259"/>
      <c r="I5" t="s" s="203">
        <v>152</v>
      </c>
      <c r="J5" t="s" s="203">
        <v>256</v>
      </c>
      <c r="K5" t="s" s="203">
        <v>257</v>
      </c>
      <c r="L5" t="s" s="203">
        <v>258</v>
      </c>
      <c r="M5" t="s" s="203">
        <v>259</v>
      </c>
      <c r="N5" t="s" s="335">
        <v>260</v>
      </c>
    </row>
    <row r="6" ht="20" customHeight="1">
      <c r="A6" s="336">
        <v>1</v>
      </c>
      <c r="B6" s="235" t="n">
        <f t="array" ref="B6">'Monthly Budget'!E7*'Assumptions'!$B$40</f>
        <v>27900</v>
      </c>
      <c r="C6" s="235" t="n">
        <f t="array" ref="C6">'Monthly Budget'!E8*'Assumptions'!$B$40</f>
        <v>0</v>
      </c>
      <c r="D6" s="235" t="n">
        <f t="array" ref="D6">'Monthly Budget'!E9*'Assumptions'!$B$40</f>
        <v>11642.4</v>
      </c>
      <c r="E6" s="235" t="n">
        <f t="array" ref="E6">SUM('Monthly Budget'!E10:E12)*'Assumptions'!$B$40</f>
        <v>10212</v>
      </c>
      <c r="F6" s="235" t="n">
        <f t="array" ref="F6">('Monthly Budget'!E21+'Monthly Budget'!E23)*'Assumptions'!$B$40</f>
        <v>479556</v>
      </c>
      <c r="G6" s="235" t="n">
        <f t="array" ref="G6">SUM(B6:F6)</f>
        <v>529310.4</v>
      </c>
      <c r="H6" s="259"/>
      <c r="I6" t="s" s="240">
        <v>156</v>
      </c>
      <c r="J6" s="235" t="n">
        <f t="array" ref="J6">INDEX('Scenario Model'!B17:D17,1,'Monthly Budget'!$H$1)*'Assumptions'!$B$40</f>
        <v>523068</v>
      </c>
      <c r="K6" s="235" cm="1">
        <f t="array" ref="K6">J6*(1+'Assumptions'!$B$12)</f>
        <v>538760.04</v>
      </c>
      <c r="L6" s="235" cm="1">
        <f t="array" ref="L6">K6*(1+'Assumptions'!$B$12)</f>
        <v>554922.8412</v>
      </c>
      <c r="M6" s="235" cm="1">
        <f t="array" ref="M6">L6*(1+'Assumptions'!$B$12)</f>
        <v>571570.526436</v>
      </c>
      <c r="N6" s="337" cm="1">
        <f t="array" ref="N6">M6*(1+'Assumptions'!$B$12)</f>
        <v>588717.6422290801</v>
      </c>
    </row>
    <row r="7" ht="20" customHeight="1">
      <c r="A7" s="336">
        <v>2</v>
      </c>
      <c r="B7" s="235" cm="1">
        <f t="array" ref="B7">B6*(1+'Assumptions'!$B$12)</f>
        <v>28737</v>
      </c>
      <c r="C7" s="235" cm="1">
        <f t="array" ref="C7">C6*(1+'Assumptions'!$B$12)</f>
        <v>0</v>
      </c>
      <c r="D7" s="235" cm="1">
        <f t="array" ref="D7">D6*(1+'Assumptions'!$B$12)</f>
        <v>11991.672</v>
      </c>
      <c r="E7" s="235" cm="1">
        <f t="array" ref="E7">E6*(1+'Assumptions'!$B$12)</f>
        <v>10518.36</v>
      </c>
      <c r="F7" s="235" cm="1">
        <f t="array" ref="F7">F6*(1+'Assumptions'!$B$12)</f>
        <v>493942.68</v>
      </c>
      <c r="G7" s="235" t="n">
        <f t="array" ref="G7">SUM(B7:F7)</f>
        <v>545189.7119999999</v>
      </c>
      <c r="H7" s="259"/>
      <c r="I7" t="s" s="240">
        <v>157</v>
      </c>
      <c r="J7" s="235" t="n">
        <f t="array" ref="J7">INDEX('Scenario Model'!F17:H17,1,'Monthly Budget'!$H$1)*'Assumptions'!$B$40</f>
        <v>523968</v>
      </c>
      <c r="K7" s="235" cm="1">
        <f t="array" ref="K7">J7*(1+'Assumptions'!$B$12)</f>
        <v>539687.04</v>
      </c>
      <c r="L7" s="235" cm="1">
        <f t="array" ref="L7">K7*(1+'Assumptions'!$B$12)</f>
        <v>555877.6512000001</v>
      </c>
      <c r="M7" s="235" cm="1">
        <f t="array" ref="M7">L7*(1+'Assumptions'!$B$12)</f>
        <v>572553.9807360001</v>
      </c>
      <c r="N7" s="337" cm="1">
        <f t="array" ref="N7">M7*(1+'Assumptions'!$B$12)</f>
        <v>589730.6001580801</v>
      </c>
    </row>
    <row r="8" ht="20" customHeight="1">
      <c r="A8" s="336">
        <v>3</v>
      </c>
      <c r="B8" s="235" cm="1">
        <f t="array" ref="B8">B7*(1+'Assumptions'!$B$12)</f>
        <v>29599.11</v>
      </c>
      <c r="C8" s="235" cm="1">
        <f t="array" ref="C8">C7*(1+'Assumptions'!$B$12)</f>
        <v>0</v>
      </c>
      <c r="D8" s="235" cm="1">
        <f t="array" ref="D8">D7*(1+'Assumptions'!$B$12)</f>
        <v>12351.42216</v>
      </c>
      <c r="E8" s="235" cm="1">
        <f t="array" ref="E8">E7*(1+'Assumptions'!$B$12)</f>
        <v>10833.910800000001</v>
      </c>
      <c r="F8" s="235" cm="1">
        <f t="array" ref="F8">F7*(1+'Assumptions'!$B$12)</f>
        <v>508760.9604</v>
      </c>
      <c r="G8" s="235" t="n">
        <f t="array" ref="G8">SUM(B8:F8)</f>
        <v>561545.40336</v>
      </c>
      <c r="H8" s="259"/>
      <c r="I8" t="s" s="240">
        <v>158</v>
      </c>
      <c r="J8" s="235" t="n">
        <f t="array" ref="J8">INDEX('Scenario Model'!J17:L17,1,'Monthly Budget'!$H$1)*'Assumptions'!$B$40</f>
        <v>529310.3999999999</v>
      </c>
      <c r="K8" s="235" cm="1">
        <f t="array" ref="K8">J8*(1+'Assumptions'!$B$12)</f>
        <v>545189.7119999999</v>
      </c>
      <c r="L8" s="235" cm="1">
        <f t="array" ref="L8">K8*(1+'Assumptions'!$B$12)</f>
        <v>561545.40336</v>
      </c>
      <c r="M8" s="235" cm="1">
        <f t="array" ref="M8">L8*(1+'Assumptions'!$B$12)</f>
        <v>578391.7654608</v>
      </c>
      <c r="N8" s="337" cm="1">
        <f t="array" ref="N8">M8*(1+'Assumptions'!$B$12)</f>
        <v>595743.518424624</v>
      </c>
    </row>
    <row r="9" ht="20" customHeight="1">
      <c r="A9" s="336">
        <v>4</v>
      </c>
      <c r="B9" s="235" cm="1">
        <f t="array" ref="B9">B8*(1+'Assumptions'!$B$12)</f>
        <v>30487.083300000002</v>
      </c>
      <c r="C9" s="235" cm="1">
        <f t="array" ref="C9">C8*(1+'Assumptions'!$B$12)</f>
        <v>0</v>
      </c>
      <c r="D9" s="235" cm="1">
        <f t="array" ref="D9">D8*(1+'Assumptions'!$B$12)</f>
        <v>12721.964824800001</v>
      </c>
      <c r="E9" s="235" cm="1">
        <f t="array" ref="E9">E8*(1+'Assumptions'!$B$12)</f>
        <v>11158.928124000002</v>
      </c>
      <c r="F9" s="235" cm="1">
        <f t="array" ref="F9">F8*(1+'Assumptions'!$B$12)</f>
        <v>524023.789212</v>
      </c>
      <c r="G9" s="235" t="n">
        <f t="array" ref="G9">SUM(B9:F9)</f>
        <v>578391.7654607999</v>
      </c>
      <c r="H9" s="259"/>
      <c r="I9" s="259"/>
      <c r="J9" s="259"/>
      <c r="K9" s="259"/>
      <c r="L9" s="259"/>
      <c r="M9" s="259"/>
      <c r="N9" s="260"/>
    </row>
    <row r="10" ht="20" customHeight="1">
      <c r="A10" s="338">
        <v>5</v>
      </c>
      <c r="B10" s="333" cm="1">
        <f t="array" ref="B10">B9*(1+'Assumptions'!$B$12)</f>
        <v>31401.695799000005</v>
      </c>
      <c r="C10" s="333" cm="1">
        <f t="array" ref="C10">C9*(1+'Assumptions'!$B$12)</f>
        <v>0</v>
      </c>
      <c r="D10" s="333" cm="1">
        <f t="array" ref="D10">D9*(1+'Assumptions'!$B$12)</f>
        <v>13103.623769544001</v>
      </c>
      <c r="E10" s="333" cm="1">
        <f t="array" ref="E10">E9*(1+'Assumptions'!$B$12)</f>
        <v>11493.695967720003</v>
      </c>
      <c r="F10" s="333" cm="1">
        <f t="array" ref="F10">F9*(1+'Assumptions'!$B$12)</f>
        <v>539744.50288836</v>
      </c>
      <c r="G10" s="333" t="n">
        <f t="array" ref="G10">SUM(B10:F10)</f>
        <v>595743.518424624</v>
      </c>
      <c r="H10" s="289"/>
      <c r="I10" s="289"/>
      <c r="J10" s="289"/>
      <c r="K10" s="289"/>
      <c r="L10" s="289"/>
      <c r="M10" s="289"/>
      <c r="N10" s="290"/>
    </row>
    <row r="12" ht="24" customHeight="1">
      <c r="A12" t="str" s="202">
        <v>Both projections use selected scenario, full payroll, and operating inflation</v>
      </c>
      <c r="B12" s="203"/>
      <c r="C12" s="203"/>
      <c r="D12" s="203"/>
      <c r="E12" s="203"/>
      <c r="F12" s="203"/>
      <c r="G12" s="203"/>
      <c r="H12" s="203"/>
      <c r="I12" s="203"/>
      <c r="J12" s="203"/>
      <c r="K12" s="203"/>
      <c r="L12" s="203"/>
      <c r="M12" s="203"/>
      <c r="N12" s="203"/>
    </row>
    <row r="13" ht="40" customHeight="1">
      <c r="A13" t="str" s="243">
        <v>Projection scope</v>
      </c>
      <c r="B13" s="243"/>
      <c r="C13" t="str" s="209">
        <v>Operating expense projection only. Resident revenue and the funding gap are on Monthly Budget. No capital-spending timeline, external funding receipts, or cash balance forecast is assumed.</v>
      </c>
      <c r="D13" s="209"/>
      <c r="E13" s="209"/>
      <c r="F13" s="209"/>
      <c r="G13" s="209"/>
      <c r="H13" s="209"/>
      <c r="I13" s="209"/>
      <c r="J13" s="209"/>
      <c r="K13" s="209"/>
      <c r="L13" s="209"/>
      <c r="M13" s="209"/>
      <c r="N13" s="209"/>
    </row>
  </sheetData>
  <sheetProtection sheet="1" objects="1" scenarios="1" formatCells="1" formatColumns="0" formatRows="0" insertColumns="1" insertRows="1" deleteColumns="1" deleteRows="1" selectLockedCells="0" selectUnlockedCells="0" sort="1" autoFilter="0"/>
  <mergeCells count="4">
    <mergeCell ref="A1:N1"/>
    <mergeCell ref="A12:N12"/>
    <mergeCell ref="A13:B13"/>
    <mergeCell ref="C13:N13"/>
  </mergeCells>
  <conditionalFormatting sqref="A6:G10 J6:N8">
    <cfRule type="cellIs" dxfId="5" priority="1" operator="lessThan" stopIfTrue="1">
      <formula>0</formula>
    </cfRule>
  </conditionalFormatting>
  <pageMargins left="0.75" right="0.75" top="1" bottom="1" header="0.511806" footer="0.511806"/>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dimension ref="A1:H18"/>
  <sheetViews>
    <sheetView workbookViewId="0" showGridLines="0" defaultGridColor="1"/>
  </sheetViews>
  <sheetFormatPr defaultColWidth="8.83333" defaultRowHeight="15" customHeight="1" outlineLevelRow="0" outlineLevelCol="0"/>
  <cols>
    <col min="1" max="1" width="34.1719" style="152" customWidth="1"/>
    <col min="2" max="4" width="14.1719" style="152" customWidth="1"/>
    <col min="5" max="5" width="4" style="152" customWidth="1"/>
    <col min="6" max="6" width="34.1719" style="152" customWidth="1"/>
    <col min="7" max="7" width="14.1719" style="152" customWidth="1"/>
    <col min="8" max="8" width="16.1719" style="152" customWidth="1"/>
    <col min="9" max="16384" width="8.85156" style="152" customWidth="1"/>
  </cols>
  <sheetData>
    <row r="1" ht="27.75" customHeight="1">
      <c r="A1" t="s" s="210">
        <v>261</v>
      </c>
      <c r="B1" s="211"/>
      <c r="C1" s="211"/>
      <c r="D1" s="211"/>
      <c r="E1" s="211"/>
      <c r="F1" s="211"/>
      <c r="G1" s="211"/>
      <c r="H1" s="212"/>
    </row>
    <row r="2" ht="20" customHeight="1">
      <c r="A2" s="264"/>
      <c r="B2" s="259"/>
      <c r="C2" s="259"/>
      <c r="D2" s="259"/>
      <c r="E2" s="259"/>
      <c r="F2" s="259"/>
      <c r="G2" s="259"/>
      <c r="H2" s="260"/>
    </row>
    <row r="3" ht="20" customHeight="1">
      <c r="A3" t="s" s="202">
        <v>262</v>
      </c>
      <c r="B3" t="s" s="203">
        <v>153</v>
      </c>
      <c r="C3" t="s" s="203">
        <v>154</v>
      </c>
      <c r="D3" t="s" s="203">
        <v>155</v>
      </c>
      <c r="E3" s="259"/>
      <c r="F3" t="s" s="203">
        <v>263</v>
      </c>
      <c r="G3" t="s" s="203">
        <v>264</v>
      </c>
      <c r="H3" t="s" s="335">
        <v>265</v>
      </c>
    </row>
    <row r="4" ht="20" customHeight="1">
      <c r="A4" s="234" t="str">
        <f>"Residential units ("&amp;'Assumptions'!B36&amp;" homes)"</f>
        <v>Residential units (30 homes)</v>
      </c>
      <c r="B4" s="235" t="n">
        <f>'Assumptions'!B55</f>
        <v>4500000</v>
      </c>
      <c r="C4" s="235" t="n">
        <f>'Assumptions'!C55</f>
        <v>5000000</v>
      </c>
      <c r="D4" s="235" t="n">
        <f>'Assumptions'!D55</f>
        <v>5500000</v>
      </c>
      <c r="E4" s="259"/>
      <c r="F4" t="s" s="240">
        <v>267</v>
      </c>
      <c r="G4" s="343" cm="1">
        <f t="array" ref="G4">'Monthly Budget'!E22</f>
        <v>6909.2</v>
      </c>
      <c r="H4" s="342" t="n">
        <f t="array" ref="H4">G4*'Assumptions'!$B$40</f>
        <v>82910.4</v>
      </c>
    </row>
    <row r="5" ht="20" customHeight="1">
      <c r="A5" t="s" s="234">
        <v>268</v>
      </c>
      <c r="B5" s="235" t="n">
        <f>'Assumptions'!B56</f>
        <v>4000000</v>
      </c>
      <c r="C5" s="235" t="n">
        <f>'Assumptions'!C56</f>
        <v>4500000</v>
      </c>
      <c r="D5" s="235" t="n">
        <f>'Assumptions'!D56</f>
        <v>5000000</v>
      </c>
      <c r="E5" s="259"/>
      <c r="F5" s="240" t="str">
        <f>'Payroll &amp; Staffing'!A6&amp;" (loaded)"</f>
        <v>On-Site Managers (loaded)</v>
      </c>
      <c r="G5" s="344" cm="1">
        <f t="array" ref="G5">'Payroll &amp; Staffing'!G6</f>
        <v>15000</v>
      </c>
      <c r="H5" s="342" t="n">
        <f t="array" ref="H5">G5*'Assumptions'!$B$40</f>
        <v>180000</v>
      </c>
    </row>
    <row r="6" ht="50" customHeight="1">
      <c r="A6" s="253" t="str">
        <v>Laundry, Kitchen, and Logistics Equipment</v>
      </c>
      <c r="B6" s="235" t="n">
        <f>'Assumptions'!B57</f>
        <v>750000</v>
      </c>
      <c r="C6" s="235" t="n">
        <f>'Assumptions'!C57</f>
        <v>1000000</v>
      </c>
      <c r="D6" s="235" t="n">
        <f>'Assumptions'!D57</f>
        <v>1250000</v>
      </c>
      <c r="E6" s="259"/>
      <c r="F6" s="240" t="str">
        <f>'Payroll &amp; Staffing'!A7&amp;" (loaded)"</f>
        <v>Chaplain / LPC (loaded)</v>
      </c>
      <c r="G6" s="344" cm="1">
        <f t="array" ref="G6">'Payroll &amp; Staffing'!G7</f>
        <v>7500</v>
      </c>
      <c r="H6" s="342" t="n">
        <f t="array" ref="H6">G6*'Assumptions'!$B$40</f>
        <v>90000</v>
      </c>
    </row>
    <row r="7" ht="20" customHeight="1">
      <c r="A7" t="s" s="234">
        <v>272</v>
      </c>
      <c r="B7" s="235" t="n">
        <f>'Assumptions'!B58</f>
        <v>3500000</v>
      </c>
      <c r="C7" s="235" t="n">
        <f>'Assumptions'!C58</f>
        <v>4500000</v>
      </c>
      <c r="D7" s="235" t="n">
        <f>'Assumptions'!D58</f>
        <v>5500000</v>
      </c>
      <c r="E7" s="259"/>
      <c r="F7" s="240" t="str">
        <f>'Payroll &amp; Staffing'!A8&amp;" (loaded)"</f>
        <v>Mess Sergeant (loaded)</v>
      </c>
      <c r="G7" s="344" cm="1">
        <f t="array" ref="G7">'Payroll &amp; Staffing'!G8</f>
        <v>5000</v>
      </c>
      <c r="H7" s="342" t="n">
        <f t="array" ref="H7">G7*'Assumptions'!$B$40</f>
        <v>60000</v>
      </c>
    </row>
    <row r="8" ht="20" customHeight="1">
      <c r="A8" s="339" t="str">
        <v>Solar / Microgrid</v>
      </c>
      <c r="B8" s="292" t="n">
        <f>'Assumptions'!B59</f>
        <v>1800000</v>
      </c>
      <c r="C8" s="292" t="n">
        <f>'Assumptions'!C59</f>
        <v>3000000</v>
      </c>
      <c r="D8" s="292" t="n">
        <f>'Assumptions'!D59</f>
        <v>2300000</v>
      </c>
      <c r="E8" s="259"/>
      <c r="F8" s="240" t="str">
        <f>'Payroll &amp; Staffing'!A9&amp;" (loaded)"</f>
        <v>Sous Chef (loaded)</v>
      </c>
      <c r="G8" s="344" cm="1">
        <f t="array" ref="G8">'Payroll &amp; Staffing'!G9</f>
        <v>2500</v>
      </c>
      <c r="H8" s="342" t="n">
        <f t="array" ref="H8">G8*'Assumptions'!$B$40</f>
        <v>30000</v>
      </c>
    </row>
    <row r="9" ht="20" customHeight="1">
      <c r="A9" t="s" s="339">
        <v>276</v>
      </c>
      <c r="B9" s="292" t="n">
        <f>'Assumptions'!B60</f>
        <v>2000000</v>
      </c>
      <c r="C9" s="292" t="n">
        <f>'Assumptions'!C60</f>
        <v>3300000</v>
      </c>
      <c r="D9" s="292" t="n">
        <f>'Assumptions'!D60</f>
        <v>4000000</v>
      </c>
      <c r="E9" s="259"/>
      <c r="F9" s="240" t="str">
        <f>'Payroll &amp; Staffing'!A10&amp;" (loaded)"</f>
        <v>Kitchen Labor (loaded)</v>
      </c>
      <c r="G9" s="344" cm="1">
        <f t="array" ref="G9">'Payroll &amp; Staffing'!G10</f>
        <v>1800</v>
      </c>
      <c r="H9" s="342" t="n">
        <f t="array" ref="H9">G9*'Assumptions'!$B$40</f>
        <v>21600</v>
      </c>
    </row>
    <row r="10" ht="34" customHeight="1">
      <c r="A10" s="254" t="str">
        <v>TOTAL CAPITAL DEVELOPMENT</v>
      </c>
      <c r="B10" s="256" cm="1">
        <f t="array" ref="B10">SUM(B4:B9)</f>
        <v>16550000</v>
      </c>
      <c r="C10" s="256" cm="1">
        <f t="array" ref="C10">SUM(C4:C9)</f>
        <v>21300000</v>
      </c>
      <c r="D10" s="256" cm="1">
        <f t="array" ref="D10">SUM(D4:D9)</f>
        <v>23550000</v>
      </c>
      <c r="E10" s="259"/>
      <c r="F10" s="240" t="str">
        <f>'Payroll &amp; Staffing'!A11&amp;" (loaded)"</f>
        <v>Property Management Labor (loaded)</v>
      </c>
      <c r="G10" s="345" cm="1">
        <f t="array" ref="G10">'Payroll &amp; Staffing'!G11</f>
        <v>5400</v>
      </c>
      <c r="H10" s="342" t="n">
        <f t="array" ref="H10">G10*'Assumptions'!$B$40</f>
        <v>64800</v>
      </c>
    </row>
    <row r="11" ht="34" customHeight="1">
      <c r="A11" s="254" t="str">
        <v>INITIAL OPERATING RESERVE</v>
      </c>
      <c r="B11" s="259"/>
      <c r="C11" s="292" t="n">
        <f>'Assumptions'!B35</f>
        <v>1000000</v>
      </c>
      <c r="D11" s="259"/>
      <c r="E11" s="259"/>
      <c r="F11" t="s" s="240">
        <v>280</v>
      </c>
      <c r="G11" s="346" cm="1">
        <f t="array" ref="G11">'Monthly Budget'!E24</f>
        <v>44109.2</v>
      </c>
      <c r="H11" s="342" t="n">
        <f t="array" ref="H11">G11*'Assumptions'!$B$40</f>
        <v>529310.3999999999</v>
      </c>
    </row>
    <row r="12" ht="44" customHeight="1">
      <c r="A12" s="254" t="str">
        <v>COMBINED INITIAL CAPITALIZATION</v>
      </c>
      <c r="B12" s="259"/>
      <c r="C12" s="292">
        <f>C10+C11</f>
        <v>22300000</v>
      </c>
      <c r="D12" s="259"/>
      <c r="E12" s="259"/>
      <c r="F12" s="340" t="str">
        <v>Development / annual operating</v>
      </c>
      <c r="G12" s="347"/>
      <c r="H12" s="341" t="n">
        <f t="array" ref="H12">IF(H11=0,"N/A",C10/H11)</f>
        <v>40.241038150771274</v>
      </c>
    </row>
    <row r="13" ht="20" customHeight="1">
      <c r="A13" s="311"/>
      <c r="B13" s="289"/>
      <c r="C13" s="289"/>
      <c r="D13" s="289"/>
      <c r="E13" s="289"/>
      <c r="F13" s="289"/>
      <c r="G13" s="348"/>
      <c r="H13" s="349"/>
    </row>
    <row r="15" ht="24" customHeight="1">
      <c r="A15" t="str" s="202">
        <v>Scope and input guide</v>
      </c>
      <c r="B15" s="203"/>
      <c r="C15" s="203"/>
      <c r="D15" s="203"/>
      <c r="E15" s="203"/>
      <c r="F15" s="203"/>
      <c r="G15" s="203"/>
      <c r="H15" s="203"/>
    </row>
    <row r="16" ht="54" customHeight="1">
      <c r="A16" t="str" s="243">
        <v>Capital inputs</v>
      </c>
      <c r="B16" s="243"/>
      <c r="C16" s="209" t="str">
        <v>Edit allowances on Assumptions!B55:D60; reserve at B35. Expected is the approved capital plan. Solar Low/High are historical pending revision and do not bound the new Expected allowance; aggregate ranges are not updated risk estimates.</v>
      </c>
      <c r="D16" s="209"/>
      <c r="E16" s="209"/>
      <c r="F16" s="209"/>
      <c r="G16" s="209"/>
      <c r="H16" s="209"/>
    </row>
    <row r="17" ht="46" customHeight="1">
      <c r="A17" t="str" s="243">
        <v>Included / excluded</v>
      </c>
      <c r="B17" s="243"/>
      <c r="C17" t="str" s="209">
        <v>Read the six scope descriptions on Assumptions!A67:F72. Open scope questions follow immediately at A75:F82. These descriptions do not add costs to the allowances.</v>
      </c>
      <c r="D17" s="209"/>
      <c r="E17" s="209"/>
      <c r="F17" s="209"/>
      <c r="G17" s="209"/>
      <c r="H17" s="209"/>
    </row>
    <row r="18" ht="46" customHeight="1">
      <c r="A18" t="str" s="243">
        <v>Professional validation</v>
      </c>
      <c r="B18" s="243"/>
      <c r="C18" t="str" s="209">
        <v>Planning allowances remain subject to professional review. The workbook does not certify complete scope coverage or the absence of overlap until the listed boundaries are resolved.</v>
      </c>
      <c r="D18" s="209"/>
      <c r="E18" s="209"/>
      <c r="F18" s="209"/>
      <c r="G18" s="209"/>
      <c r="H18" s="209"/>
    </row>
  </sheetData>
  <sheetProtection sheet="1" objects="1" scenarios="1" formatCells="1" formatColumns="0" formatRows="0" insertColumns="1" insertRows="1" deleteColumns="1" deleteRows="1" selectLockedCells="0" selectUnlockedCells="0" sort="1" autoFilter="0"/>
  <mergeCells count="8">
    <mergeCell ref="A1:H1"/>
    <mergeCell ref="A15:H15"/>
    <mergeCell ref="A16:B16"/>
    <mergeCell ref="C16:H16"/>
    <mergeCell ref="A17:B17"/>
    <mergeCell ref="C17:H17"/>
    <mergeCell ref="A18:B18"/>
    <mergeCell ref="C18:H18"/>
  </mergeCells>
  <conditionalFormatting sqref="B4:D10 G4:H9">
    <cfRule type="cellIs" dxfId="6" priority="1" operator="lessThan" stopIfTrue="1">
      <formula>0</formula>
    </cfRule>
  </conditionalFormatting>
  <pageMargins left="0.75" right="0.75" top="1" bottom="1" header="0.511806" footer="0.511806"/>
  <pageSetup firstPageNumber="1" fitToHeight="1" fitToWidth="1" scale="100" useFirstPageNumber="0" orientation="portrait" pageOrder="downThenOver"/>
  <headerFooter>
    <oddFooter>&amp;C&amp;"Helvetica Neue,Regular"&amp;12&amp;K000000&amp;P</oddFooter>
  </headerFooter>
</worksheet>
</file>

<file path=xl/worksheets/sheet9.xml><?xml version="1.0" encoding="utf-8"?>
<worksheet xmlns:r="http://schemas.openxmlformats.org/officeDocument/2006/relationships" xmlns="http://schemas.openxmlformats.org/spreadsheetml/2006/main">
  <dimension ref="A1:E20"/>
  <sheetViews>
    <sheetView workbookViewId="0" showGridLines="0" defaultGridColor="1"/>
  </sheetViews>
  <sheetFormatPr defaultColWidth="8.83333" defaultRowHeight="15" customHeight="1" outlineLevelRow="0" outlineLevelCol="0"/>
  <cols>
    <col min="1" max="1" width="24.1719" style="165" customWidth="1"/>
    <col min="2" max="2" width="110.672" style="165" customWidth="1"/>
    <col min="3" max="5" width="8.67188" style="165" customWidth="1"/>
    <col min="6" max="16384" width="8.85156" style="165" customWidth="1"/>
  </cols>
  <sheetData>
    <row r="1" ht="27.75" customHeight="1">
      <c r="A1" t="s" s="210">
        <v>282</v>
      </c>
      <c r="B1" s="211"/>
      <c r="C1" s="350"/>
      <c r="D1" s="350"/>
      <c r="E1" s="351"/>
    </row>
    <row r="2" ht="24" customHeight="1">
      <c r="A2" s="264"/>
      <c r="B2" s="259"/>
      <c r="C2" s="259"/>
      <c r="D2" s="259"/>
      <c r="E2" s="260"/>
    </row>
    <row r="3" ht="24" customHeight="1">
      <c r="A3" t="s" s="202">
        <v>283</v>
      </c>
      <c r="B3" t="s" s="203">
        <v>284</v>
      </c>
      <c r="C3" s="259"/>
      <c r="D3" s="259"/>
      <c r="E3" s="260"/>
    </row>
    <row r="4" ht="48" customHeight="1">
      <c r="A4" t="s" s="239">
        <v>285</v>
      </c>
      <c r="B4" s="209" t="str">
        <v>Current planning baseline: capital, operating expenses, resident revenue and funding gap. It is not a complete funding sources-and-uses or cash-flow forecast.</v>
      </c>
      <c r="C4" s="259"/>
      <c r="D4" s="259"/>
      <c r="E4" s="260"/>
    </row>
    <row r="5" ht="24" customHeight="1">
      <c r="A5" t="s" s="239">
        <v>287</v>
      </c>
      <c r="B5" s="209" t="str">
        <v>Assumptions!B4 selects fuel; B5 selects Low, Expected or High operating inputs.</v>
      </c>
      <c r="C5" s="259"/>
      <c r="D5" s="259"/>
      <c r="E5" s="260"/>
    </row>
    <row r="6" ht="48" customHeight="1">
      <c r="A6" t="s" s="239">
        <v>289</v>
      </c>
      <c r="B6" s="209" t="str">
        <v>Current controlling electricity rate is Assumptions!B9 ($0.15/kWh at delivery), confirmed by the founder. Former $0.13/kWh is historical.</v>
      </c>
      <c r="C6" s="259"/>
      <c r="D6" s="259"/>
      <c r="E6" s="260"/>
    </row>
    <row r="7" ht="24" customHeight="1">
      <c r="A7" t="s" s="239">
        <v>291</v>
      </c>
      <c r="B7" t="s" s="209">
        <v>292</v>
      </c>
      <c r="C7" s="259"/>
      <c r="D7" s="259"/>
      <c r="E7" s="260"/>
    </row>
    <row r="8" ht="24" customHeight="1">
      <c r="A8" t="s" s="239">
        <v>293</v>
      </c>
      <c r="B8" t="s" s="209">
        <v>294</v>
      </c>
      <c r="C8" s="259"/>
      <c r="D8" s="259"/>
      <c r="E8" s="260"/>
    </row>
    <row r="9" ht="24" customHeight="1">
      <c r="A9" t="s" s="239">
        <v>295</v>
      </c>
      <c r="B9" t="s" s="209">
        <v>296</v>
      </c>
      <c r="C9" s="259"/>
      <c r="D9" s="259"/>
      <c r="E9" s="260"/>
    </row>
    <row r="10" ht="24" customHeight="1">
      <c r="A10" t="s" s="239">
        <v>297</v>
      </c>
      <c r="B10" t="s" s="209">
        <v>298</v>
      </c>
      <c r="C10" s="259"/>
      <c r="D10" s="259"/>
      <c r="E10" s="260"/>
    </row>
    <row r="11" ht="48" customHeight="1">
      <c r="A11" t="s" s="239">
        <v>103</v>
      </c>
      <c r="B11" s="209" t="str">
        <v>Staffing inputs are on Assumptions!A45:C50, with burden at B29. Payroll &amp; Staffing is linked; loaded payroll flows to all operating scenarios and projections.</v>
      </c>
      <c r="C11" s="259"/>
      <c r="D11" s="259"/>
      <c r="E11" s="260"/>
    </row>
    <row r="12" ht="24" customHeight="1">
      <c r="A12" t="s" s="239">
        <v>300</v>
      </c>
      <c r="B12" t="s" s="209">
        <v>301</v>
      </c>
      <c r="C12" s="259"/>
      <c r="D12" s="259"/>
      <c r="E12" s="260"/>
    </row>
    <row r="13" ht="24" customHeight="1">
      <c r="A13" t="s" s="239">
        <v>300</v>
      </c>
      <c r="B13" t="s" s="209">
        <v>302</v>
      </c>
      <c r="C13" s="259"/>
      <c r="D13" s="259"/>
      <c r="E13" s="260"/>
    </row>
    <row r="14" ht="24" customHeight="1">
      <c r="A14" t="s" s="239">
        <v>300</v>
      </c>
      <c r="B14" t="s" s="209">
        <v>303</v>
      </c>
      <c r="C14" s="259"/>
      <c r="D14" s="259"/>
      <c r="E14" s="260"/>
    </row>
    <row r="15" ht="24" customHeight="1">
      <c r="A15" t="s" s="352">
        <v>300</v>
      </c>
      <c r="B15" t="s" s="353">
        <v>304</v>
      </c>
      <c r="C15" s="289"/>
      <c r="D15" s="289"/>
      <c r="E15" s="290"/>
    </row>
    <row r="17" ht="24" customHeight="1">
      <c r="A17" t="str" s="202">
        <v>Version and validation record</v>
      </c>
      <c r="B17" s="203"/>
      <c r="C17" s="203"/>
      <c r="D17" s="203"/>
      <c r="E17" s="203"/>
    </row>
    <row r="18" ht="68" customHeight="1">
      <c r="A18" s="243" t="str">
        <v>v1.7 solar update</v>
      </c>
      <c r="B18" s="209" t="str">
        <v>2026-09-02: Founder-approved provisional solar, battery and microgrid allowance increased from $2m to $3m. Subject to load analysis, engineering, AEP interconnection and competitive quotes. No uncommitted incentives/export income. Prior v1.6 reconciliation retained.</v>
      </c>
      <c r="C18" s="209"/>
      <c r="D18" s="209"/>
      <c r="E18" s="209"/>
    </row>
    <row r="19" ht="52" customHeight="1">
      <c r="A19" t="str" s="243">
        <v>Remaining scope</v>
      </c>
      <c r="B19" s="209" t="str">
        <v>No confirmed overlap offset. See Assumptions rows 71 and 76–82 for system boundaries, unitemized contingency and historical solar ranges. Operating, fuel, maintenance and replacement estimates require technical validation; no proportional increase or savings assumed.</v>
      </c>
      <c r="C19" s="209"/>
      <c r="D19" s="209"/>
      <c r="E19" s="209"/>
    </row>
    <row r="20" ht="52" customHeight="1">
      <c r="A20" t="str" s="243">
        <v>Input provenance</v>
      </c>
      <c r="B20" t="str" s="209">
        <v>Sources and acceptance log: Assumptions row 85 onward. Blank dates and unassigned reviewers identify information not yet supplied.</v>
      </c>
      <c r="C20" s="209"/>
      <c r="D20" s="209"/>
      <c r="E20" s="209"/>
    </row>
  </sheetData>
  <sheetProtection sheet="1" objects="1" scenarios="1" formatCells="1" formatColumns="0" formatRows="0" insertColumns="1" insertRows="1" deleteColumns="1" deleteRows="1" selectLockedCells="0" selectUnlockedCells="0" sort="1" autoFilter="0"/>
  <mergeCells count="5">
    <mergeCell ref="A1:B1"/>
    <mergeCell ref="A17:E17"/>
    <mergeCell ref="B18:E18"/>
    <mergeCell ref="B19:E19"/>
    <mergeCell ref="B20:E20"/>
  </mergeCells>
  <pageMargins left="0.75" right="0.75" top="1" bottom="1" header="0.511806" footer="0.511806"/>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